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hidePivotFieldList="1" defaultThemeVersion="166925"/>
  <mc:AlternateContent xmlns:mc="http://schemas.openxmlformats.org/markup-compatibility/2006">
    <mc:Choice Requires="x15">
      <x15ac:absPath xmlns:x15ac="http://schemas.microsoft.com/office/spreadsheetml/2010/11/ac" url="C:\Martha Elena\AÑO 2024\INFORME DE GESTIÓN XI-30-2024\INFORME  GESTIÓN ASAMBLEA DEPARTAMENTAL\ANEXOS\"/>
    </mc:Choice>
  </mc:AlternateContent>
  <xr:revisionPtr revIDLastSave="0" documentId="13_ncr:1_{C1B24AD6-0DCA-47EF-9DA1-E2AB70261006}" xr6:coauthVersionLast="36" xr6:coauthVersionMax="36" xr10:uidLastSave="{00000000-0000-0000-0000-000000000000}"/>
  <bookViews>
    <workbookView xWindow="0" yWindow="0" windowWidth="24000" windowHeight="8745" firstSheet="3" activeTab="7" xr2:uid="{00000000-000D-0000-FFFF-FFFF00000000}"/>
  </bookViews>
  <sheets>
    <sheet name="SGTO POAI 2024 ARMONIZADO" sheetId="1" r:id="rId1"/>
    <sheet name="RESUMEN PROGRAMAS" sheetId="15" r:id="rId2"/>
    <sheet name="RESUMEN POAI - PROYECTOS" sheetId="6" r:id="rId3"/>
    <sheet name="FUENTE POR UNIDAD" sheetId="8" r:id="rId4"/>
    <sheet name="LINEA ESTRATEGICA" sheetId="7" r:id="rId5"/>
    <sheet name="CONSOLIDADO UNIDADES" sheetId="14" r:id="rId6"/>
    <sheet name="PARTICIPACIÓN SECRETARIAS" sheetId="17" r:id="rId7"/>
    <sheet name="RESUMEN SECOTRES" sheetId="18" r:id="rId8"/>
  </sheets>
  <definedNames>
    <definedName name="_1._Apoyo_con_equipos_para_la_seguridad_vial_Licenciamiento_de_software_para_comunicaciones" localSheetId="5">#REF!</definedName>
    <definedName name="_1._Apoyo_con_equipos_para_la_seguridad_vial_Licenciamiento_de_software_para_comunicaciones" localSheetId="6">#REF!</definedName>
    <definedName name="_1._Apoyo_con_equipos_para_la_seguridad_vial_Licenciamiento_de_software_para_comunicaciones" localSheetId="1">#REF!</definedName>
    <definedName name="_1._Apoyo_con_equipos_para_la_seguridad_vial_Licenciamiento_de_software_para_comunicaciones" localSheetId="7">#REF!</definedName>
    <definedName name="_1._Apoyo_con_equipos_para_la_seguridad_vial_Licenciamiento_de_software_para_comunicaciones">#REF!</definedName>
    <definedName name="_xlnm._FilterDatabase" localSheetId="5" hidden="1">'CONSOLIDADO UNIDADES'!$A$2:$N$21</definedName>
    <definedName name="_xlnm._FilterDatabase" localSheetId="3" hidden="1">'FUENTE POR UNIDAD'!$A$2:$G$2</definedName>
    <definedName name="_xlnm._FilterDatabase" localSheetId="2" hidden="1">'RESUMEN POAI - PROYECTOS'!$A$2:$L$266</definedName>
    <definedName name="_xlnm._FilterDatabase" localSheetId="1" hidden="1">'RESUMEN PROGRAMAS'!$A$2:$F$63</definedName>
    <definedName name="_xlnm._FilterDatabase" localSheetId="7" hidden="1">'RESUMEN SECOTRES'!$A$2:$G$2</definedName>
    <definedName name="_xlnm._FilterDatabase" localSheetId="0" hidden="1">'SGTO POAI 2024 ARMONIZADO'!$A$7:$XDC$558</definedName>
    <definedName name="aa" localSheetId="5">#REF!</definedName>
    <definedName name="aa" localSheetId="6">#REF!</definedName>
    <definedName name="aa" localSheetId="1">#REF!</definedName>
    <definedName name="aa" localSheetId="7">#REF!</definedName>
    <definedName name="aa">#REF!</definedName>
    <definedName name="_xlnm.Print_Area" localSheetId="0">'SGTO POAI 2024 ARMONIZADO'!$A$1:$AR$125</definedName>
    <definedName name="CODIGO_DIVIPOLA" localSheetId="5">#REF!</definedName>
    <definedName name="CODIGO_DIVIPOLA" localSheetId="6">#REF!</definedName>
    <definedName name="CODIGO_DIVIPOLA" localSheetId="1">#REF!</definedName>
    <definedName name="CODIGO_DIVIPOLA" localSheetId="7">#REF!</definedName>
    <definedName name="CODIGO_DIVIPOLA">#REF!</definedName>
    <definedName name="DboREGISTRO_LEY_617" localSheetId="5">#REF!</definedName>
    <definedName name="DboREGISTRO_LEY_617" localSheetId="6">#REF!</definedName>
    <definedName name="DboREGISTRO_LEY_617" localSheetId="1">#REF!</definedName>
    <definedName name="DboREGISTRO_LEY_617" localSheetId="7">#REF!</definedName>
    <definedName name="DboREGISTRO_LEY_617">#REF!</definedName>
    <definedName name="ññ" localSheetId="5">#REF!</definedName>
    <definedName name="ññ" localSheetId="6">#REF!</definedName>
    <definedName name="ññ" localSheetId="1">#REF!</definedName>
    <definedName name="ññ" localSheetId="7">#REF!</definedName>
    <definedName name="ññ">#REF!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8" i="6" l="1"/>
  <c r="H215" i="6"/>
  <c r="E16" i="18"/>
  <c r="G16" i="18"/>
  <c r="G15" i="18"/>
  <c r="G14" i="18"/>
  <c r="E13" i="18"/>
  <c r="G13" i="18"/>
  <c r="G12" i="18"/>
  <c r="E11" i="18"/>
  <c r="E10" i="18"/>
  <c r="G9" i="18"/>
  <c r="E8" i="18"/>
  <c r="G8" i="18"/>
  <c r="E5" i="18"/>
  <c r="E4" i="18"/>
  <c r="G3" i="18" l="1"/>
  <c r="F18" i="18"/>
  <c r="E7" i="18"/>
  <c r="C18" i="18"/>
  <c r="G4" i="18"/>
  <c r="G5" i="18"/>
  <c r="G6" i="18"/>
  <c r="E6" i="18"/>
  <c r="G7" i="18"/>
  <c r="G10" i="18"/>
  <c r="G17" i="18"/>
  <c r="E9" i="18"/>
  <c r="G11" i="18"/>
  <c r="E12" i="18"/>
  <c r="E14" i="18"/>
  <c r="E15" i="18"/>
  <c r="E17" i="18"/>
  <c r="E3" i="18"/>
  <c r="AO497" i="1"/>
  <c r="G18" i="18" l="1"/>
  <c r="D18" i="18"/>
  <c r="E18" i="18" s="1"/>
  <c r="AN100" i="1"/>
  <c r="AM100" i="1"/>
  <c r="AV486" i="1" l="1"/>
  <c r="AW486" i="1"/>
  <c r="AW488" i="1"/>
  <c r="AV488" i="1"/>
  <c r="AW485" i="1"/>
  <c r="AV465" i="1" l="1"/>
  <c r="AW465" i="1"/>
  <c r="AW463" i="1" l="1"/>
  <c r="T468" i="1"/>
  <c r="AU468" i="1" l="1"/>
  <c r="AR464" i="1"/>
  <c r="AR461" i="1"/>
  <c r="AR460" i="1"/>
  <c r="E52" i="8" l="1"/>
  <c r="C52" i="8"/>
  <c r="B52" i="8"/>
  <c r="AV305" i="1"/>
  <c r="AW305" i="1"/>
  <c r="AV306" i="1"/>
  <c r="AW306" i="1"/>
  <c r="AV307" i="1"/>
  <c r="AW307" i="1"/>
  <c r="AV308" i="1"/>
  <c r="AW308" i="1"/>
  <c r="AV309" i="1"/>
  <c r="AW309" i="1"/>
  <c r="AV310" i="1"/>
  <c r="AW310" i="1"/>
  <c r="AV311" i="1"/>
  <c r="AW311" i="1"/>
  <c r="AV312" i="1"/>
  <c r="AW312" i="1"/>
  <c r="AV313" i="1"/>
  <c r="AW313" i="1"/>
  <c r="AV314" i="1"/>
  <c r="AW314" i="1"/>
  <c r="AV315" i="1"/>
  <c r="AW315" i="1"/>
  <c r="AV316" i="1"/>
  <c r="AW316" i="1"/>
  <c r="AV317" i="1"/>
  <c r="AW317" i="1"/>
  <c r="AV318" i="1"/>
  <c r="AW318" i="1"/>
  <c r="AV319" i="1"/>
  <c r="AW319" i="1"/>
  <c r="AV320" i="1"/>
  <c r="AW320" i="1"/>
  <c r="AV321" i="1"/>
  <c r="AW321" i="1"/>
  <c r="AV322" i="1"/>
  <c r="AW322" i="1"/>
  <c r="AV323" i="1"/>
  <c r="AW323" i="1"/>
  <c r="AV324" i="1"/>
  <c r="AW324" i="1"/>
  <c r="AV325" i="1"/>
  <c r="AW325" i="1"/>
  <c r="AV326" i="1"/>
  <c r="AW326" i="1"/>
  <c r="AV327" i="1"/>
  <c r="AW327" i="1"/>
  <c r="AV328" i="1"/>
  <c r="AW328" i="1"/>
  <c r="AV329" i="1"/>
  <c r="AW329" i="1"/>
  <c r="AV330" i="1"/>
  <c r="AW330" i="1"/>
  <c r="AV331" i="1"/>
  <c r="AW331" i="1"/>
  <c r="AV332" i="1"/>
  <c r="AW332" i="1"/>
  <c r="AV333" i="1"/>
  <c r="AW333" i="1"/>
  <c r="AV334" i="1"/>
  <c r="AW334" i="1"/>
  <c r="AV335" i="1"/>
  <c r="AW335" i="1"/>
  <c r="AW336" i="1"/>
  <c r="AW337" i="1"/>
  <c r="AV338" i="1"/>
  <c r="AW338" i="1"/>
  <c r="AV339" i="1"/>
  <c r="AW339" i="1"/>
  <c r="AV340" i="1"/>
  <c r="AW340" i="1"/>
  <c r="AV341" i="1"/>
  <c r="AW341" i="1"/>
  <c r="AV342" i="1"/>
  <c r="AW342" i="1"/>
  <c r="AV343" i="1"/>
  <c r="AW343" i="1"/>
  <c r="AV344" i="1"/>
  <c r="AW344" i="1"/>
  <c r="AV345" i="1"/>
  <c r="AW345" i="1"/>
  <c r="AV346" i="1"/>
  <c r="AW346" i="1"/>
  <c r="AW347" i="1"/>
  <c r="AV348" i="1"/>
  <c r="AW348" i="1"/>
  <c r="AV349" i="1"/>
  <c r="AW349" i="1"/>
  <c r="AV350" i="1"/>
  <c r="AW350" i="1"/>
  <c r="AW352" i="1"/>
  <c r="AV355" i="1"/>
  <c r="AW355" i="1"/>
  <c r="AV356" i="1"/>
  <c r="AW356" i="1"/>
  <c r="AV357" i="1"/>
  <c r="AW357" i="1"/>
  <c r="AV358" i="1"/>
  <c r="AW358" i="1"/>
  <c r="AV359" i="1"/>
  <c r="AW359" i="1"/>
  <c r="AV360" i="1"/>
  <c r="AW360" i="1"/>
  <c r="AV361" i="1"/>
  <c r="AW361" i="1"/>
  <c r="AV362" i="1"/>
  <c r="AW362" i="1"/>
  <c r="AV363" i="1"/>
  <c r="AW363" i="1"/>
  <c r="AV364" i="1"/>
  <c r="AW364" i="1"/>
  <c r="AV365" i="1"/>
  <c r="AW365" i="1"/>
  <c r="AV366" i="1"/>
  <c r="AW366" i="1"/>
  <c r="AV367" i="1"/>
  <c r="AW367" i="1"/>
  <c r="AV368" i="1"/>
  <c r="AW368" i="1"/>
  <c r="AV369" i="1"/>
  <c r="AW369" i="1"/>
  <c r="AV370" i="1"/>
  <c r="AW370" i="1"/>
  <c r="AV371" i="1"/>
  <c r="AW371" i="1"/>
  <c r="AV372" i="1"/>
  <c r="AW372" i="1"/>
  <c r="AV373" i="1"/>
  <c r="AW373" i="1"/>
  <c r="AV374" i="1"/>
  <c r="AW374" i="1"/>
  <c r="AV375" i="1"/>
  <c r="AW375" i="1"/>
  <c r="AV376" i="1"/>
  <c r="AW376" i="1"/>
  <c r="AV377" i="1"/>
  <c r="AW377" i="1"/>
  <c r="AV378" i="1"/>
  <c r="AW378" i="1"/>
  <c r="AV379" i="1"/>
  <c r="AW379" i="1"/>
  <c r="AV380" i="1"/>
  <c r="AW380" i="1"/>
  <c r="AV381" i="1"/>
  <c r="AW381" i="1"/>
  <c r="AV382" i="1"/>
  <c r="AW382" i="1"/>
  <c r="AV383" i="1"/>
  <c r="AW383" i="1"/>
  <c r="AV384" i="1"/>
  <c r="AW384" i="1"/>
  <c r="AV385" i="1"/>
  <c r="AW385" i="1"/>
  <c r="AV386" i="1"/>
  <c r="AW386" i="1"/>
  <c r="AV387" i="1"/>
  <c r="AW387" i="1"/>
  <c r="AV388" i="1"/>
  <c r="AW388" i="1"/>
  <c r="AV389" i="1"/>
  <c r="AW389" i="1"/>
  <c r="AV390" i="1"/>
  <c r="AW390" i="1"/>
  <c r="AV391" i="1"/>
  <c r="AW391" i="1"/>
  <c r="AV392" i="1"/>
  <c r="AW392" i="1"/>
  <c r="AV393" i="1"/>
  <c r="AW393" i="1"/>
  <c r="AV394" i="1"/>
  <c r="AW394" i="1"/>
  <c r="AV395" i="1"/>
  <c r="AW395" i="1"/>
  <c r="AV396" i="1"/>
  <c r="AW396" i="1"/>
  <c r="AV397" i="1"/>
  <c r="AW397" i="1"/>
  <c r="AV398" i="1"/>
  <c r="AW398" i="1"/>
  <c r="AV399" i="1"/>
  <c r="AW399" i="1"/>
  <c r="AV400" i="1"/>
  <c r="AW400" i="1"/>
  <c r="AV401" i="1"/>
  <c r="AW401" i="1"/>
  <c r="AV402" i="1"/>
  <c r="AW402" i="1"/>
  <c r="AV403" i="1"/>
  <c r="AW403" i="1"/>
  <c r="AV404" i="1"/>
  <c r="AW404" i="1"/>
  <c r="AV405" i="1"/>
  <c r="AW405" i="1"/>
  <c r="AV406" i="1"/>
  <c r="AW406" i="1"/>
  <c r="AV407" i="1"/>
  <c r="AW407" i="1"/>
  <c r="AV408" i="1"/>
  <c r="AW408" i="1"/>
  <c r="AV409" i="1"/>
  <c r="AW409" i="1"/>
  <c r="AV410" i="1"/>
  <c r="AW410" i="1"/>
  <c r="AV411" i="1"/>
  <c r="AW411" i="1"/>
  <c r="AV412" i="1"/>
  <c r="AW412" i="1"/>
  <c r="AV413" i="1"/>
  <c r="AW413" i="1"/>
  <c r="AV414" i="1"/>
  <c r="AW414" i="1"/>
  <c r="AV415" i="1"/>
  <c r="AW415" i="1"/>
  <c r="AV416" i="1"/>
  <c r="AW416" i="1"/>
  <c r="AV417" i="1"/>
  <c r="AW417" i="1"/>
  <c r="AV418" i="1"/>
  <c r="AW418" i="1"/>
  <c r="AV419" i="1"/>
  <c r="AV420" i="1"/>
  <c r="AV421" i="1"/>
  <c r="AW421" i="1"/>
  <c r="AW422" i="1"/>
  <c r="AV423" i="1"/>
  <c r="AW423" i="1"/>
  <c r="AV424" i="1"/>
  <c r="AW424" i="1"/>
  <c r="AV425" i="1"/>
  <c r="AW425" i="1"/>
  <c r="AV426" i="1"/>
  <c r="AW426" i="1"/>
  <c r="AV427" i="1"/>
  <c r="AW427" i="1"/>
  <c r="AV428" i="1"/>
  <c r="AW428" i="1"/>
  <c r="AV429" i="1"/>
  <c r="AW429" i="1"/>
  <c r="AV430" i="1"/>
  <c r="AW430" i="1"/>
  <c r="AV431" i="1"/>
  <c r="AW431" i="1"/>
  <c r="AV432" i="1"/>
  <c r="AW432" i="1"/>
  <c r="AV433" i="1"/>
  <c r="AW433" i="1"/>
  <c r="AV434" i="1"/>
  <c r="AW434" i="1"/>
  <c r="AA347" i="1"/>
  <c r="AV347" i="1" s="1"/>
  <c r="AL373" i="1"/>
  <c r="AL325" i="1"/>
  <c r="AL319" i="1"/>
  <c r="AM337" i="1"/>
  <c r="AV337" i="1" s="1"/>
  <c r="AM336" i="1"/>
  <c r="AV336" i="1" s="1"/>
  <c r="AL404" i="1"/>
  <c r="AL400" i="1"/>
  <c r="AR396" i="1"/>
  <c r="AA422" i="1"/>
  <c r="AV422" i="1" s="1"/>
  <c r="F52" i="8" l="1"/>
  <c r="D52" i="8"/>
  <c r="AB420" i="1"/>
  <c r="AB351" i="1"/>
  <c r="AW351" i="1" s="1"/>
  <c r="AN277" i="1"/>
  <c r="AN276" i="1"/>
  <c r="AB419" i="1" l="1"/>
  <c r="AW419" i="1" s="1"/>
  <c r="AW420" i="1"/>
  <c r="B38" i="8"/>
  <c r="AV232" i="1"/>
  <c r="AW232" i="1"/>
  <c r="E38" i="8"/>
  <c r="C38" i="8"/>
  <c r="AV225" i="1"/>
  <c r="AW225" i="1"/>
  <c r="AW223" i="1"/>
  <c r="D38" i="8" l="1"/>
  <c r="F38" i="8"/>
  <c r="AV151" i="1"/>
  <c r="AW151" i="1"/>
  <c r="AV152" i="1"/>
  <c r="AW152" i="1"/>
  <c r="AV153" i="1"/>
  <c r="AW153" i="1"/>
  <c r="AV154" i="1"/>
  <c r="AW154" i="1"/>
  <c r="AV155" i="1"/>
  <c r="AW155" i="1"/>
  <c r="AV156" i="1"/>
  <c r="AW156" i="1"/>
  <c r="AV157" i="1"/>
  <c r="AW157" i="1"/>
  <c r="AV158" i="1"/>
  <c r="AW158" i="1"/>
  <c r="AV159" i="1"/>
  <c r="AW159" i="1"/>
  <c r="AV160" i="1"/>
  <c r="AW160" i="1"/>
  <c r="AV161" i="1"/>
  <c r="AW161" i="1"/>
  <c r="AV162" i="1"/>
  <c r="AW162" i="1"/>
  <c r="AV163" i="1"/>
  <c r="AW163" i="1"/>
  <c r="AV164" i="1"/>
  <c r="AW164" i="1"/>
  <c r="AV165" i="1"/>
  <c r="AW165" i="1"/>
  <c r="AV166" i="1"/>
  <c r="AW166" i="1"/>
  <c r="AV167" i="1"/>
  <c r="AW167" i="1"/>
  <c r="AV168" i="1"/>
  <c r="AW168" i="1"/>
  <c r="AV169" i="1"/>
  <c r="AW169" i="1"/>
  <c r="AV170" i="1"/>
  <c r="AW170" i="1"/>
  <c r="AV171" i="1"/>
  <c r="AW171" i="1"/>
  <c r="AV172" i="1"/>
  <c r="AW172" i="1"/>
  <c r="AV173" i="1"/>
  <c r="AW173" i="1"/>
  <c r="AV174" i="1"/>
  <c r="AW174" i="1"/>
  <c r="AV175" i="1"/>
  <c r="AW175" i="1"/>
  <c r="AV176" i="1"/>
  <c r="AW176" i="1"/>
  <c r="AV177" i="1"/>
  <c r="AW177" i="1"/>
  <c r="AV178" i="1"/>
  <c r="AW178" i="1"/>
  <c r="AV179" i="1"/>
  <c r="AW179" i="1"/>
  <c r="AV180" i="1"/>
  <c r="AW180" i="1"/>
  <c r="AV181" i="1"/>
  <c r="AW181" i="1"/>
  <c r="AV182" i="1"/>
  <c r="AW182" i="1"/>
  <c r="AV183" i="1"/>
  <c r="AW183" i="1"/>
  <c r="AV184" i="1"/>
  <c r="AW184" i="1"/>
  <c r="AV185" i="1"/>
  <c r="AW185" i="1"/>
  <c r="AV186" i="1"/>
  <c r="AW186" i="1"/>
  <c r="AV187" i="1"/>
  <c r="AW187" i="1"/>
  <c r="AV188" i="1"/>
  <c r="AW188" i="1"/>
  <c r="AV189" i="1"/>
  <c r="AW189" i="1"/>
  <c r="AV190" i="1"/>
  <c r="AW190" i="1"/>
  <c r="AV191" i="1"/>
  <c r="AW191" i="1"/>
  <c r="AV192" i="1"/>
  <c r="AW192" i="1"/>
  <c r="AV193" i="1"/>
  <c r="AW193" i="1"/>
  <c r="AV194" i="1"/>
  <c r="AW194" i="1"/>
  <c r="AV195" i="1"/>
  <c r="AW195" i="1"/>
  <c r="AV196" i="1"/>
  <c r="AW196" i="1"/>
  <c r="AV197" i="1"/>
  <c r="AW197" i="1"/>
  <c r="AV198" i="1"/>
  <c r="AW198" i="1"/>
  <c r="AV199" i="1"/>
  <c r="AW199" i="1"/>
  <c r="AV200" i="1"/>
  <c r="AW200" i="1"/>
  <c r="AV201" i="1"/>
  <c r="AW201" i="1"/>
  <c r="AV202" i="1"/>
  <c r="AW202" i="1"/>
  <c r="AV203" i="1"/>
  <c r="AW203" i="1"/>
  <c r="AV204" i="1"/>
  <c r="AW204" i="1"/>
  <c r="AV205" i="1"/>
  <c r="AW205" i="1"/>
  <c r="AV206" i="1"/>
  <c r="AW206" i="1"/>
  <c r="AV207" i="1"/>
  <c r="AW207" i="1"/>
  <c r="AV208" i="1"/>
  <c r="AW208" i="1"/>
  <c r="AV209" i="1"/>
  <c r="AW209" i="1"/>
  <c r="AV210" i="1"/>
  <c r="AW210" i="1"/>
  <c r="AV211" i="1"/>
  <c r="AW211" i="1"/>
  <c r="AV212" i="1"/>
  <c r="AW212" i="1"/>
  <c r="AV213" i="1"/>
  <c r="AW213" i="1"/>
  <c r="AV214" i="1"/>
  <c r="AW214" i="1"/>
  <c r="AV215" i="1"/>
  <c r="AW215" i="1"/>
  <c r="AN142" i="1" l="1"/>
  <c r="AM143" i="1"/>
  <c r="AM142" i="1" s="1"/>
  <c r="AV107" i="1"/>
  <c r="AW107" i="1"/>
  <c r="AV108" i="1"/>
  <c r="AW108" i="1"/>
  <c r="AW96" i="1" l="1"/>
  <c r="AV65" i="1"/>
  <c r="AW65" i="1"/>
  <c r="AV66" i="1"/>
  <c r="AW66" i="1"/>
  <c r="AV67" i="1"/>
  <c r="AW67" i="1"/>
  <c r="AV68" i="1"/>
  <c r="AW68" i="1"/>
  <c r="AV69" i="1"/>
  <c r="AW69" i="1"/>
  <c r="AV70" i="1"/>
  <c r="AW70" i="1"/>
  <c r="AV71" i="1"/>
  <c r="AW71" i="1"/>
  <c r="AV72" i="1"/>
  <c r="AW72" i="1"/>
  <c r="AV73" i="1"/>
  <c r="AW73" i="1"/>
  <c r="AV74" i="1"/>
  <c r="AW74" i="1"/>
  <c r="AV75" i="1"/>
  <c r="AW75" i="1"/>
  <c r="AV76" i="1"/>
  <c r="AW76" i="1"/>
  <c r="AV77" i="1"/>
  <c r="AW77" i="1"/>
  <c r="AV78" i="1"/>
  <c r="AW78" i="1"/>
  <c r="AV79" i="1"/>
  <c r="AW79" i="1"/>
  <c r="AV80" i="1"/>
  <c r="AW80" i="1"/>
  <c r="AV81" i="1"/>
  <c r="AW81" i="1"/>
  <c r="AV82" i="1"/>
  <c r="AW82" i="1"/>
  <c r="AV83" i="1"/>
  <c r="AW83" i="1"/>
  <c r="AV84" i="1"/>
  <c r="AW84" i="1"/>
  <c r="AV85" i="1"/>
  <c r="AW85" i="1"/>
  <c r="AV86" i="1"/>
  <c r="AW86" i="1"/>
  <c r="AV87" i="1"/>
  <c r="AW87" i="1"/>
  <c r="AV88" i="1"/>
  <c r="AW88" i="1"/>
  <c r="AV89" i="1"/>
  <c r="AW89" i="1"/>
  <c r="AV90" i="1"/>
  <c r="AW90" i="1"/>
  <c r="AV91" i="1"/>
  <c r="AW91" i="1"/>
  <c r="AV92" i="1"/>
  <c r="AW92" i="1"/>
  <c r="AV93" i="1"/>
  <c r="AW93" i="1"/>
  <c r="AV94" i="1"/>
  <c r="AW94" i="1"/>
  <c r="AV95" i="1"/>
  <c r="AW95" i="1"/>
  <c r="AV96" i="1"/>
  <c r="AV97" i="1"/>
  <c r="AW97" i="1"/>
  <c r="AV101" i="1"/>
  <c r="AW101" i="1"/>
  <c r="AV103" i="1"/>
  <c r="AW103" i="1"/>
  <c r="AV104" i="1"/>
  <c r="AW104" i="1"/>
  <c r="AV105" i="1"/>
  <c r="AW105" i="1"/>
  <c r="AN102" i="1"/>
  <c r="AW102" i="1" s="1"/>
  <c r="AM102" i="1"/>
  <c r="AV102" i="1" s="1"/>
  <c r="AW40" i="1" l="1"/>
  <c r="AL38" i="1"/>
  <c r="AR38" i="1" l="1"/>
  <c r="AM20" i="1"/>
  <c r="AN19" i="1"/>
  <c r="AN20" i="1" s="1"/>
  <c r="AL445" i="1" l="1"/>
  <c r="AL438" i="1"/>
  <c r="AR226" i="1" l="1"/>
  <c r="AL250" i="1"/>
  <c r="AL249" i="1"/>
  <c r="AL246" i="1"/>
  <c r="AL242" i="1"/>
  <c r="AL241" i="1"/>
  <c r="AL237" i="1"/>
  <c r="AL236" i="1"/>
  <c r="AL230" i="1"/>
  <c r="AL229" i="1"/>
  <c r="AL227" i="1"/>
  <c r="AL226" i="1"/>
  <c r="AF246" i="1"/>
  <c r="AF232" i="1"/>
  <c r="AF231" i="1"/>
  <c r="AF228" i="1"/>
  <c r="AO221" i="1"/>
  <c r="AO85" i="1"/>
  <c r="AL95" i="1"/>
  <c r="AL93" i="1"/>
  <c r="AL80" i="1"/>
  <c r="AL79" i="1"/>
  <c r="AL78" i="1"/>
  <c r="AL77" i="1"/>
  <c r="T47" i="1"/>
  <c r="T46" i="1"/>
  <c r="AL33" i="1"/>
  <c r="AL32" i="1"/>
  <c r="AL31" i="1"/>
  <c r="AL26" i="1"/>
  <c r="AM26" i="1" s="1"/>
  <c r="AM25" i="1" s="1"/>
  <c r="AL25" i="1"/>
  <c r="AL23" i="1"/>
  <c r="AL22" i="1"/>
  <c r="AL11" i="1"/>
  <c r="T489" i="1" l="1"/>
  <c r="U489" i="1" s="1"/>
  <c r="T488" i="1"/>
  <c r="T474" i="1"/>
  <c r="T473" i="1"/>
  <c r="U472" i="1"/>
  <c r="U469" i="1"/>
  <c r="AU431" i="1" l="1"/>
  <c r="AV469" i="1" l="1"/>
  <c r="AW469" i="1"/>
  <c r="AV470" i="1"/>
  <c r="AW470" i="1"/>
  <c r="AV471" i="1"/>
  <c r="AW471" i="1"/>
  <c r="AV472" i="1"/>
  <c r="AW472" i="1"/>
  <c r="AV473" i="1"/>
  <c r="AW473" i="1"/>
  <c r="AV474" i="1"/>
  <c r="AW474" i="1"/>
  <c r="AW475" i="1"/>
  <c r="AV476" i="1"/>
  <c r="AW476" i="1"/>
  <c r="AV477" i="1"/>
  <c r="AW477" i="1"/>
  <c r="AW478" i="1"/>
  <c r="AW479" i="1"/>
  <c r="AW480" i="1"/>
  <c r="AV481" i="1"/>
  <c r="AW481" i="1"/>
  <c r="AV482" i="1"/>
  <c r="AW482" i="1"/>
  <c r="AV483" i="1"/>
  <c r="AW483" i="1"/>
  <c r="AV484" i="1"/>
  <c r="AW484" i="1"/>
  <c r="AW487" i="1"/>
  <c r="AV489" i="1"/>
  <c r="AW489" i="1"/>
  <c r="F45" i="15" l="1"/>
  <c r="AV490" i="1"/>
  <c r="AW490" i="1"/>
  <c r="AV491" i="1"/>
  <c r="AW491" i="1"/>
  <c r="AV492" i="1"/>
  <c r="AW492" i="1"/>
  <c r="AV493" i="1"/>
  <c r="AW493" i="1"/>
  <c r="AV494" i="1"/>
  <c r="AW494" i="1"/>
  <c r="AV495" i="1"/>
  <c r="AW495" i="1"/>
  <c r="AV496" i="1"/>
  <c r="AW496" i="1"/>
  <c r="AV497" i="1"/>
  <c r="AW497" i="1"/>
  <c r="F27" i="15" l="1"/>
  <c r="D27" i="15"/>
  <c r="AE458" i="1"/>
  <c r="AV458" i="1" l="1"/>
  <c r="AW458" i="1"/>
  <c r="AV459" i="1"/>
  <c r="AW459" i="1"/>
  <c r="AV460" i="1"/>
  <c r="AW460" i="1"/>
  <c r="AV461" i="1"/>
  <c r="AW461" i="1"/>
  <c r="AV462" i="1"/>
  <c r="AW462" i="1"/>
  <c r="AV463" i="1"/>
  <c r="AV464" i="1"/>
  <c r="AW464" i="1"/>
  <c r="AV466" i="1"/>
  <c r="AW466" i="1"/>
  <c r="AV467" i="1"/>
  <c r="AW467" i="1"/>
  <c r="AV468" i="1"/>
  <c r="AW468" i="1"/>
  <c r="F55" i="15" l="1"/>
  <c r="D55" i="15"/>
  <c r="AU143" i="1"/>
  <c r="D20" i="14" l="1"/>
  <c r="Q25" i="14" s="1"/>
  <c r="D16" i="14" l="1"/>
  <c r="Q3" i="14" s="1"/>
  <c r="D21" i="14" l="1"/>
  <c r="Q55" i="14" s="1"/>
  <c r="C263" i="6" l="1"/>
  <c r="B263" i="6"/>
  <c r="C262" i="6"/>
  <c r="B262" i="6"/>
  <c r="C258" i="6"/>
  <c r="B258" i="6"/>
  <c r="C257" i="6"/>
  <c r="B257" i="6"/>
  <c r="C260" i="6"/>
  <c r="B260" i="6"/>
  <c r="C259" i="6"/>
  <c r="B259" i="6"/>
  <c r="C256" i="6"/>
  <c r="B256" i="6"/>
  <c r="C255" i="6"/>
  <c r="B255" i="6"/>
  <c r="C254" i="6"/>
  <c r="B254" i="6"/>
  <c r="C253" i="6"/>
  <c r="B253" i="6"/>
  <c r="C252" i="6"/>
  <c r="B252" i="6"/>
  <c r="C251" i="6"/>
  <c r="B251" i="6"/>
  <c r="C250" i="6"/>
  <c r="B250" i="6"/>
  <c r="C249" i="6"/>
  <c r="B249" i="6"/>
  <c r="C247" i="6"/>
  <c r="B247" i="6"/>
  <c r="C246" i="6"/>
  <c r="B246" i="6"/>
  <c r="C245" i="6"/>
  <c r="B245" i="6"/>
  <c r="C244" i="6"/>
  <c r="B244" i="6"/>
  <c r="C242" i="6"/>
  <c r="B242" i="6"/>
  <c r="H241" i="6"/>
  <c r="G241" i="6"/>
  <c r="E241" i="6"/>
  <c r="D241" i="6"/>
  <c r="C241" i="6"/>
  <c r="B241" i="6"/>
  <c r="H240" i="6"/>
  <c r="G240" i="6"/>
  <c r="E240" i="6"/>
  <c r="D240" i="6"/>
  <c r="C240" i="6"/>
  <c r="B240" i="6"/>
  <c r="C239" i="6"/>
  <c r="B239" i="6"/>
  <c r="H238" i="6"/>
  <c r="G238" i="6"/>
  <c r="E238" i="6"/>
  <c r="D238" i="6"/>
  <c r="C238" i="6"/>
  <c r="B238" i="6"/>
  <c r="C237" i="6"/>
  <c r="B237" i="6"/>
  <c r="H236" i="6"/>
  <c r="G236" i="6"/>
  <c r="E236" i="6"/>
  <c r="D236" i="6"/>
  <c r="C236" i="6"/>
  <c r="B236" i="6"/>
  <c r="C235" i="6"/>
  <c r="B235" i="6"/>
  <c r="C234" i="6"/>
  <c r="B234" i="6"/>
  <c r="C233" i="6"/>
  <c r="C5" i="7" s="1"/>
  <c r="B233" i="6"/>
  <c r="B5" i="7" s="1"/>
  <c r="C192" i="6"/>
  <c r="B192" i="6"/>
  <c r="C179" i="6"/>
  <c r="B179" i="6"/>
  <c r="C178" i="6"/>
  <c r="B178" i="6"/>
  <c r="C177" i="6"/>
  <c r="B177" i="6"/>
  <c r="C151" i="6"/>
  <c r="B151" i="6"/>
  <c r="C149" i="6"/>
  <c r="B149" i="6"/>
  <c r="C148" i="6"/>
  <c r="B148" i="6"/>
  <c r="C147" i="6"/>
  <c r="B147" i="6"/>
  <c r="C146" i="6"/>
  <c r="B146" i="6"/>
  <c r="C145" i="6"/>
  <c r="B145" i="6"/>
  <c r="C144" i="6"/>
  <c r="B144" i="6"/>
  <c r="C143" i="6"/>
  <c r="B143" i="6"/>
  <c r="C142" i="6"/>
  <c r="B142" i="6"/>
  <c r="C141" i="6"/>
  <c r="B141" i="6"/>
  <c r="C140" i="6"/>
  <c r="B140" i="6"/>
  <c r="C138" i="6"/>
  <c r="B138" i="6"/>
  <c r="C137" i="6"/>
  <c r="B137" i="6"/>
  <c r="C136" i="6"/>
  <c r="B136" i="6"/>
  <c r="C135" i="6"/>
  <c r="B135" i="6"/>
  <c r="C134" i="6"/>
  <c r="B134" i="6"/>
  <c r="C133" i="6"/>
  <c r="B133" i="6"/>
  <c r="C131" i="6"/>
  <c r="B131" i="6"/>
  <c r="C130" i="6"/>
  <c r="B130" i="6"/>
  <c r="C129" i="6"/>
  <c r="B129" i="6"/>
  <c r="C128" i="6"/>
  <c r="B128" i="6"/>
  <c r="C127" i="6"/>
  <c r="B127" i="6"/>
  <c r="C126" i="6"/>
  <c r="B126" i="6"/>
  <c r="C125" i="6"/>
  <c r="B125" i="6"/>
  <c r="C124" i="6"/>
  <c r="B124" i="6"/>
  <c r="C123" i="6"/>
  <c r="B123" i="6"/>
  <c r="C122" i="6"/>
  <c r="B122" i="6"/>
  <c r="C121" i="6"/>
  <c r="B121" i="6"/>
  <c r="C120" i="6"/>
  <c r="B120" i="6"/>
  <c r="C119" i="6"/>
  <c r="B119" i="6"/>
  <c r="C118" i="6"/>
  <c r="B118" i="6"/>
  <c r="C117" i="6"/>
  <c r="B117" i="6"/>
  <c r="C116" i="6"/>
  <c r="B116" i="6"/>
  <c r="C115" i="6"/>
  <c r="B115" i="6"/>
  <c r="C114" i="6"/>
  <c r="B114" i="6"/>
  <c r="C113" i="6"/>
  <c r="B113" i="6"/>
  <c r="C112" i="6"/>
  <c r="B112" i="6"/>
  <c r="C111" i="6"/>
  <c r="B111" i="6"/>
  <c r="C110" i="6"/>
  <c r="B110" i="6"/>
  <c r="C109" i="6"/>
  <c r="C108" i="6"/>
  <c r="B108" i="6"/>
  <c r="C107" i="6"/>
  <c r="B107" i="6"/>
  <c r="C106" i="6"/>
  <c r="B106" i="6"/>
  <c r="C105" i="6"/>
  <c r="B105" i="6"/>
  <c r="C104" i="6"/>
  <c r="B104" i="6"/>
  <c r="C103" i="6"/>
  <c r="B103" i="6"/>
  <c r="C102" i="6"/>
  <c r="B102" i="6"/>
  <c r="C101" i="6"/>
  <c r="B101" i="6"/>
  <c r="C100" i="6"/>
  <c r="B100" i="6"/>
  <c r="C99" i="6"/>
  <c r="B99" i="6"/>
  <c r="C97" i="6"/>
  <c r="B97" i="6"/>
  <c r="C96" i="6"/>
  <c r="B96" i="6"/>
  <c r="C95" i="6"/>
  <c r="B95" i="6"/>
  <c r="C94" i="6"/>
  <c r="B94" i="6"/>
  <c r="C93" i="6"/>
  <c r="B93" i="6"/>
  <c r="C92" i="6"/>
  <c r="B92" i="6"/>
  <c r="L91" i="6"/>
  <c r="J91" i="6"/>
  <c r="I91" i="6"/>
  <c r="L90" i="6"/>
  <c r="J90" i="6"/>
  <c r="I90" i="6"/>
  <c r="H91" i="6"/>
  <c r="G91" i="6"/>
  <c r="E91" i="6"/>
  <c r="D91" i="6"/>
  <c r="C91" i="6"/>
  <c r="B91" i="6"/>
  <c r="C90" i="6"/>
  <c r="B90" i="6"/>
  <c r="C89" i="6"/>
  <c r="B89" i="6"/>
  <c r="H88" i="6"/>
  <c r="G88" i="6"/>
  <c r="E88" i="6"/>
  <c r="D88" i="6"/>
  <c r="C88" i="6"/>
  <c r="C87" i="6"/>
  <c r="B88" i="6"/>
  <c r="B87" i="6"/>
  <c r="C86" i="6"/>
  <c r="B86" i="6"/>
  <c r="E86" i="6"/>
  <c r="D86" i="6"/>
  <c r="H86" i="6"/>
  <c r="G86" i="6"/>
  <c r="J85" i="6"/>
  <c r="L85" i="6"/>
  <c r="J86" i="6"/>
  <c r="L86" i="6"/>
  <c r="I86" i="6"/>
  <c r="K86" i="6" l="1"/>
  <c r="M91" i="6"/>
  <c r="K90" i="6"/>
  <c r="M90" i="6"/>
  <c r="M86" i="6"/>
  <c r="K91" i="6"/>
  <c r="C85" i="6"/>
  <c r="B85" i="6"/>
  <c r="C83" i="6"/>
  <c r="B83" i="6"/>
  <c r="C82" i="6"/>
  <c r="B82" i="6"/>
  <c r="C81" i="6"/>
  <c r="B81" i="6"/>
  <c r="C80" i="6"/>
  <c r="B80" i="6"/>
  <c r="C79" i="6"/>
  <c r="B79" i="6"/>
  <c r="C78" i="6"/>
  <c r="B78" i="6"/>
  <c r="C77" i="6"/>
  <c r="B77" i="6"/>
  <c r="C75" i="6"/>
  <c r="B75" i="6"/>
  <c r="C74" i="6"/>
  <c r="B74" i="6"/>
  <c r="B73" i="6"/>
  <c r="C73" i="6"/>
  <c r="C72" i="6"/>
  <c r="B72" i="6"/>
  <c r="C71" i="6"/>
  <c r="B71" i="6"/>
  <c r="C70" i="6"/>
  <c r="B70" i="6"/>
  <c r="C69" i="6"/>
  <c r="B69" i="6"/>
  <c r="C68" i="6"/>
  <c r="B68" i="6"/>
  <c r="C67" i="6"/>
  <c r="B67" i="6"/>
  <c r="C66" i="6"/>
  <c r="B66" i="6"/>
  <c r="C65" i="6"/>
  <c r="B65" i="6"/>
  <c r="C64" i="6"/>
  <c r="B64" i="6"/>
  <c r="C63" i="6"/>
  <c r="B63" i="6"/>
  <c r="C62" i="6"/>
  <c r="B62" i="6"/>
  <c r="B61" i="6"/>
  <c r="C61" i="6"/>
  <c r="C60" i="6"/>
  <c r="B60" i="6"/>
  <c r="C59" i="6"/>
  <c r="B59" i="6"/>
  <c r="C58" i="6"/>
  <c r="B58" i="6"/>
  <c r="C57" i="6"/>
  <c r="B57" i="6"/>
  <c r="C56" i="6"/>
  <c r="B56" i="6"/>
  <c r="C55" i="6"/>
  <c r="B55" i="6"/>
  <c r="C54" i="6"/>
  <c r="B54" i="6"/>
  <c r="C53" i="6"/>
  <c r="B53" i="6"/>
  <c r="C52" i="6"/>
  <c r="B52" i="6"/>
  <c r="C50" i="6"/>
  <c r="B50" i="6"/>
  <c r="C49" i="6"/>
  <c r="B49" i="6"/>
  <c r="C48" i="6"/>
  <c r="B48" i="6"/>
  <c r="C47" i="6"/>
  <c r="B47" i="6"/>
  <c r="C46" i="6"/>
  <c r="B46" i="6"/>
  <c r="C45" i="6"/>
  <c r="B45" i="6"/>
  <c r="C44" i="6"/>
  <c r="B44" i="6"/>
  <c r="C43" i="6"/>
  <c r="B43" i="6"/>
  <c r="C42" i="6"/>
  <c r="B42" i="6"/>
  <c r="C41" i="6"/>
  <c r="B41" i="6"/>
  <c r="C40" i="6"/>
  <c r="C4" i="7" s="1"/>
  <c r="B40" i="6"/>
  <c r="B4" i="7" s="1"/>
  <c r="C39" i="6"/>
  <c r="B39" i="6"/>
  <c r="C38" i="6"/>
  <c r="B38" i="6"/>
  <c r="C36" i="6"/>
  <c r="B36" i="6"/>
  <c r="C35" i="6"/>
  <c r="B35" i="6"/>
  <c r="C34" i="6"/>
  <c r="B34" i="6"/>
  <c r="C33" i="6"/>
  <c r="B33" i="6"/>
  <c r="C32" i="6"/>
  <c r="C3" i="7" s="1"/>
  <c r="B32" i="6"/>
  <c r="B3" i="7" s="1"/>
  <c r="C31" i="6"/>
  <c r="B31" i="6"/>
  <c r="C29" i="6"/>
  <c r="B29" i="6"/>
  <c r="C28" i="6"/>
  <c r="B28" i="6"/>
  <c r="C27" i="6"/>
  <c r="B27" i="6"/>
  <c r="C25" i="6"/>
  <c r="B25" i="6"/>
  <c r="C24" i="6"/>
  <c r="B24" i="6"/>
  <c r="C23" i="6"/>
  <c r="B23" i="6"/>
  <c r="C22" i="6"/>
  <c r="B22" i="6"/>
  <c r="C21" i="6"/>
  <c r="B21" i="6"/>
  <c r="C20" i="6"/>
  <c r="B20" i="6"/>
  <c r="C19" i="6"/>
  <c r="B19" i="6"/>
  <c r="C18" i="6"/>
  <c r="B18" i="6"/>
  <c r="C17" i="6"/>
  <c r="B17" i="6"/>
  <c r="C16" i="6"/>
  <c r="B16" i="6"/>
  <c r="C15" i="6"/>
  <c r="B15" i="6"/>
  <c r="C14" i="6"/>
  <c r="B14" i="6"/>
  <c r="C13" i="6"/>
  <c r="B13" i="6"/>
  <c r="C11" i="6"/>
  <c r="B11" i="6"/>
  <c r="C10" i="6"/>
  <c r="B10" i="6"/>
  <c r="C9" i="6"/>
  <c r="B9" i="6"/>
  <c r="C8" i="6"/>
  <c r="B8" i="6"/>
  <c r="C7" i="6"/>
  <c r="B7" i="6"/>
  <c r="C6" i="6"/>
  <c r="B6" i="6"/>
  <c r="C5" i="6"/>
  <c r="B5" i="6"/>
  <c r="C4" i="6"/>
  <c r="C6" i="7" s="1"/>
  <c r="B4" i="6"/>
  <c r="B6" i="7" s="1"/>
  <c r="H223" i="6"/>
  <c r="G223" i="6"/>
  <c r="E223" i="6"/>
  <c r="D223" i="6"/>
  <c r="H229" i="6"/>
  <c r="D224" i="6"/>
  <c r="E222" i="6"/>
  <c r="D222" i="6"/>
  <c r="D221" i="6"/>
  <c r="E221" i="6"/>
  <c r="E224" i="6"/>
  <c r="E229" i="6"/>
  <c r="H204" i="6"/>
  <c r="G204" i="6"/>
  <c r="E204" i="6"/>
  <c r="D204" i="6"/>
  <c r="E230" i="6"/>
  <c r="E228" i="6"/>
  <c r="E227" i="6"/>
  <c r="E226" i="6"/>
  <c r="E225" i="6"/>
  <c r="E219" i="6"/>
  <c r="E218" i="6"/>
  <c r="E217" i="6"/>
  <c r="E216" i="6"/>
  <c r="E215" i="6"/>
  <c r="E214" i="6"/>
  <c r="E213" i="6"/>
  <c r="E212" i="6"/>
  <c r="E211" i="6"/>
  <c r="E210" i="6"/>
  <c r="E209" i="6"/>
  <c r="E208" i="6"/>
  <c r="E207" i="6"/>
  <c r="E206" i="6"/>
  <c r="E205" i="6"/>
  <c r="E203" i="6"/>
  <c r="E202" i="6"/>
  <c r="D171" i="6"/>
  <c r="E171" i="6"/>
  <c r="E151" i="6"/>
  <c r="E152" i="6"/>
  <c r="E153" i="6"/>
  <c r="E154" i="6"/>
  <c r="E155" i="6"/>
  <c r="E156" i="6"/>
  <c r="E157" i="6"/>
  <c r="E158" i="6"/>
  <c r="E159" i="6"/>
  <c r="E160" i="6"/>
  <c r="E161" i="6"/>
  <c r="E162" i="6"/>
  <c r="E163" i="6"/>
  <c r="E164" i="6"/>
  <c r="E165" i="6"/>
  <c r="E166" i="6"/>
  <c r="E167" i="6"/>
  <c r="E168" i="6"/>
  <c r="E169" i="6"/>
  <c r="E170" i="6"/>
  <c r="E172" i="6"/>
  <c r="E173" i="6"/>
  <c r="E174" i="6"/>
  <c r="E175" i="6"/>
  <c r="E176" i="6"/>
  <c r="E177" i="6"/>
  <c r="E178" i="6"/>
  <c r="E179" i="6"/>
  <c r="E180" i="6"/>
  <c r="E181" i="6"/>
  <c r="E182" i="6"/>
  <c r="E183" i="6"/>
  <c r="E184" i="6"/>
  <c r="E185" i="6"/>
  <c r="E186" i="6"/>
  <c r="E187" i="6"/>
  <c r="E188" i="6"/>
  <c r="E189" i="6"/>
  <c r="E190" i="6"/>
  <c r="E148" i="6" l="1"/>
  <c r="E147" i="6"/>
  <c r="E149" i="6"/>
  <c r="E146" i="6"/>
  <c r="E145" i="6"/>
  <c r="E144" i="6"/>
  <c r="E143" i="6"/>
  <c r="E142" i="6"/>
  <c r="E141" i="6"/>
  <c r="E140" i="6"/>
  <c r="E133" i="6"/>
  <c r="E134" i="6"/>
  <c r="E135" i="6"/>
  <c r="E136" i="6"/>
  <c r="E137" i="6"/>
  <c r="E138" i="6"/>
  <c r="E128" i="6"/>
  <c r="E127" i="6"/>
  <c r="E123" i="6"/>
  <c r="E124" i="6"/>
  <c r="E118" i="6"/>
  <c r="E117" i="6"/>
  <c r="E130" i="6"/>
  <c r="E116" i="6"/>
  <c r="E129" i="6"/>
  <c r="E126" i="6"/>
  <c r="E125" i="6"/>
  <c r="E113" i="6"/>
  <c r="E112" i="6"/>
  <c r="E131" i="6"/>
  <c r="E108" i="6"/>
  <c r="E107" i="6"/>
  <c r="E97" i="6"/>
  <c r="E95" i="6"/>
  <c r="E94" i="6"/>
  <c r="E93" i="6"/>
  <c r="E92" i="6"/>
  <c r="E90" i="6"/>
  <c r="E89" i="6"/>
  <c r="E87" i="6"/>
  <c r="E85" i="6"/>
  <c r="E83" i="6"/>
  <c r="E82" i="6"/>
  <c r="E81" i="6"/>
  <c r="E80" i="6"/>
  <c r="E79" i="6"/>
  <c r="E78" i="6"/>
  <c r="E77" i="6"/>
  <c r="E75" i="6"/>
  <c r="E70" i="6"/>
  <c r="E69" i="6"/>
  <c r="E74" i="6"/>
  <c r="E73" i="6"/>
  <c r="E72" i="6"/>
  <c r="E71" i="6"/>
  <c r="E67" i="6"/>
  <c r="E66" i="6"/>
  <c r="E65" i="6"/>
  <c r="E64" i="6"/>
  <c r="E63" i="6"/>
  <c r="E62" i="6"/>
  <c r="E68" i="6" l="1"/>
  <c r="H54" i="6"/>
  <c r="H193" i="6" l="1"/>
  <c r="G193" i="6"/>
  <c r="E193" i="6"/>
  <c r="D193" i="6"/>
  <c r="A193" i="6"/>
  <c r="H192" i="6"/>
  <c r="G192" i="6"/>
  <c r="E192" i="6"/>
  <c r="D192" i="6"/>
  <c r="A192" i="6"/>
  <c r="H120" i="6"/>
  <c r="G120" i="6"/>
  <c r="E120" i="6"/>
  <c r="D120" i="6"/>
  <c r="A120" i="6"/>
  <c r="H78" i="6"/>
  <c r="G78" i="6"/>
  <c r="D78" i="6"/>
  <c r="A78" i="6"/>
  <c r="D239" i="6" l="1"/>
  <c r="E239" i="6"/>
  <c r="G239" i="6"/>
  <c r="H239" i="6"/>
  <c r="H171" i="6"/>
  <c r="G171" i="6"/>
  <c r="E119" i="6"/>
  <c r="E115" i="6"/>
  <c r="E114" i="6"/>
  <c r="E111" i="6"/>
  <c r="E110" i="6"/>
  <c r="E109" i="6"/>
  <c r="F5" i="6"/>
  <c r="F6" i="6" s="1"/>
  <c r="F7" i="6" s="1"/>
  <c r="F8" i="6" s="1"/>
  <c r="F9" i="6" s="1"/>
  <c r="F10" i="6" s="1"/>
  <c r="F11" i="6" s="1"/>
  <c r="F13" i="6" s="1"/>
  <c r="F14" i="6" s="1"/>
  <c r="F15" i="6" s="1"/>
  <c r="F16" i="6" s="1"/>
  <c r="F17" i="6" s="1"/>
  <c r="F18" i="6" s="1"/>
  <c r="F19" i="6" s="1"/>
  <c r="F20" i="6" s="1"/>
  <c r="F21" i="6" s="1"/>
  <c r="F22" i="6" s="1"/>
  <c r="F23" i="6" s="1"/>
  <c r="F24" i="6" s="1"/>
  <c r="F25" i="6" s="1"/>
  <c r="F27" i="6" s="1"/>
  <c r="F28" i="6" s="1"/>
  <c r="F29" i="6" s="1"/>
  <c r="F31" i="6" s="1"/>
  <c r="F32" i="6" s="1"/>
  <c r="F33" i="6" s="1"/>
  <c r="F34" i="6" s="1"/>
  <c r="F35" i="6" s="1"/>
  <c r="F36" i="6" s="1"/>
  <c r="F37" i="6" s="1"/>
  <c r="F38" i="6" s="1"/>
  <c r="F39" i="6" s="1"/>
  <c r="F40" i="6" s="1"/>
  <c r="F41" i="6" s="1"/>
  <c r="F42" i="6" s="1"/>
  <c r="F43" i="6" s="1"/>
  <c r="F44" i="6" s="1"/>
  <c r="F45" i="6" s="1"/>
  <c r="F46" i="6" s="1"/>
  <c r="F47" i="6" s="1"/>
  <c r="F48" i="6" s="1"/>
  <c r="F49" i="6" s="1"/>
  <c r="F50"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7" i="6" s="1"/>
  <c r="F78" i="6" s="1"/>
  <c r="F79" i="6" s="1"/>
  <c r="D42" i="6"/>
  <c r="E42" i="6"/>
  <c r="G42" i="6"/>
  <c r="H42" i="6"/>
  <c r="E96" i="6"/>
  <c r="E102" i="6"/>
  <c r="E101" i="6"/>
  <c r="AI80" i="1"/>
  <c r="F80" i="6" l="1"/>
  <c r="F81" i="6" s="1"/>
  <c r="F82" i="6" s="1"/>
  <c r="F83" i="6" s="1"/>
  <c r="F85" i="6" s="1"/>
  <c r="F87" i="6" s="1"/>
  <c r="F89" i="6" s="1"/>
  <c r="F90" i="6" s="1"/>
  <c r="F92" i="6" s="1"/>
  <c r="F93" i="6" s="1"/>
  <c r="F94" i="6" s="1"/>
  <c r="F95" i="6" s="1"/>
  <c r="F96" i="6" s="1"/>
  <c r="F97"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AV8" i="1"/>
  <c r="AW8" i="1"/>
  <c r="AV9" i="1"/>
  <c r="AW9" i="1"/>
  <c r="AV10" i="1"/>
  <c r="AW10" i="1"/>
  <c r="AV11" i="1"/>
  <c r="AW11" i="1"/>
  <c r="AV12" i="1"/>
  <c r="AW12" i="1"/>
  <c r="AV13" i="1"/>
  <c r="AW13" i="1"/>
  <c r="AV14" i="1"/>
  <c r="AW14" i="1"/>
  <c r="AV15" i="1"/>
  <c r="AW15" i="1"/>
  <c r="AV16" i="1"/>
  <c r="AW16" i="1"/>
  <c r="AV17" i="1"/>
  <c r="AW17" i="1"/>
  <c r="AV18" i="1"/>
  <c r="AW18" i="1"/>
  <c r="AV19" i="1"/>
  <c r="AW19" i="1"/>
  <c r="AV20" i="1"/>
  <c r="AW20" i="1"/>
  <c r="AV21" i="1"/>
  <c r="AW21" i="1"/>
  <c r="AV24" i="1"/>
  <c r="AW24" i="1"/>
  <c r="AV25" i="1"/>
  <c r="AW25" i="1"/>
  <c r="AV26" i="1"/>
  <c r="AW26" i="1"/>
  <c r="AV31" i="1"/>
  <c r="AW31" i="1"/>
  <c r="AV32" i="1"/>
  <c r="AW32" i="1"/>
  <c r="AV33" i="1"/>
  <c r="AW33" i="1"/>
  <c r="AV34" i="1"/>
  <c r="AW34" i="1"/>
  <c r="AV35" i="1"/>
  <c r="AW35" i="1"/>
  <c r="AV36" i="1"/>
  <c r="AW36" i="1"/>
  <c r="AV37" i="1"/>
  <c r="AW37" i="1"/>
  <c r="AV38" i="1"/>
  <c r="AW38" i="1"/>
  <c r="AV39" i="1"/>
  <c r="AW39" i="1"/>
  <c r="AV40" i="1"/>
  <c r="AV41" i="1"/>
  <c r="AW41" i="1"/>
  <c r="AV42" i="1"/>
  <c r="AW42" i="1"/>
  <c r="AV43" i="1"/>
  <c r="AW43" i="1"/>
  <c r="AV44" i="1"/>
  <c r="AW44" i="1"/>
  <c r="AV45" i="1"/>
  <c r="AW45" i="1"/>
  <c r="AV46" i="1"/>
  <c r="AW46" i="1"/>
  <c r="AV47" i="1"/>
  <c r="AW47" i="1"/>
  <c r="AV48" i="1"/>
  <c r="AW48" i="1"/>
  <c r="AV49" i="1"/>
  <c r="AW49" i="1"/>
  <c r="AV50" i="1"/>
  <c r="AW50" i="1"/>
  <c r="AV51" i="1"/>
  <c r="AW51" i="1"/>
  <c r="AV52" i="1"/>
  <c r="AW52" i="1"/>
  <c r="AV53" i="1"/>
  <c r="AW53" i="1"/>
  <c r="AV54" i="1"/>
  <c r="AW54" i="1"/>
  <c r="AV55" i="1"/>
  <c r="AW55" i="1"/>
  <c r="AV56" i="1"/>
  <c r="AW56" i="1"/>
  <c r="AV57" i="1"/>
  <c r="AW57" i="1"/>
  <c r="AV58" i="1"/>
  <c r="AW58" i="1"/>
  <c r="AV59" i="1"/>
  <c r="AW59" i="1"/>
  <c r="AV60" i="1"/>
  <c r="AW60" i="1"/>
  <c r="AV61" i="1"/>
  <c r="AW61" i="1"/>
  <c r="AV62" i="1"/>
  <c r="AW62" i="1"/>
  <c r="AV63" i="1"/>
  <c r="AW63" i="1"/>
  <c r="AV64" i="1"/>
  <c r="AW64" i="1"/>
  <c r="D11" i="15"/>
  <c r="D31" i="15"/>
  <c r="D34" i="15"/>
  <c r="D10" i="15"/>
  <c r="AV435" i="1"/>
  <c r="AW435" i="1"/>
  <c r="AV436" i="1"/>
  <c r="AW436" i="1"/>
  <c r="AV437" i="1"/>
  <c r="AW437" i="1"/>
  <c r="AV438" i="1"/>
  <c r="AW438" i="1"/>
  <c r="AV439" i="1"/>
  <c r="AW439" i="1"/>
  <c r="AV440" i="1"/>
  <c r="AW440" i="1"/>
  <c r="AV441" i="1"/>
  <c r="AW441" i="1"/>
  <c r="AV442" i="1"/>
  <c r="AW442" i="1"/>
  <c r="AV443" i="1"/>
  <c r="AW443" i="1"/>
  <c r="AV444" i="1"/>
  <c r="AW444" i="1"/>
  <c r="AV445" i="1"/>
  <c r="AW445" i="1"/>
  <c r="AV446" i="1"/>
  <c r="AW446" i="1"/>
  <c r="AV447" i="1"/>
  <c r="AW447" i="1"/>
  <c r="AV448" i="1"/>
  <c r="AW448" i="1"/>
  <c r="AV449" i="1"/>
  <c r="AW449" i="1"/>
  <c r="AV450" i="1"/>
  <c r="AW450" i="1"/>
  <c r="AV451" i="1"/>
  <c r="AW451" i="1"/>
  <c r="AV452" i="1"/>
  <c r="AW452" i="1"/>
  <c r="AV453" i="1"/>
  <c r="AW453" i="1"/>
  <c r="AV454" i="1"/>
  <c r="AW454" i="1"/>
  <c r="AV455" i="1"/>
  <c r="AW455" i="1"/>
  <c r="AV456" i="1"/>
  <c r="AW456" i="1"/>
  <c r="AV457" i="1"/>
  <c r="AW457" i="1"/>
  <c r="D46" i="15" l="1"/>
  <c r="D54" i="15"/>
  <c r="F54" i="15"/>
  <c r="F46" i="15"/>
  <c r="F47" i="15"/>
  <c r="F34" i="15"/>
  <c r="F30" i="15"/>
  <c r="F29" i="15"/>
  <c r="D30" i="15"/>
  <c r="D29" i="15"/>
  <c r="F33" i="15"/>
  <c r="F31" i="15"/>
  <c r="D33" i="15"/>
  <c r="F26" i="15"/>
  <c r="F24" i="15"/>
  <c r="D24" i="15"/>
  <c r="F23" i="15"/>
  <c r="D23" i="15"/>
  <c r="D14" i="15"/>
  <c r="F14" i="15"/>
  <c r="F13" i="15"/>
  <c r="D13" i="15"/>
  <c r="D12" i="15"/>
  <c r="F11" i="15"/>
  <c r="F12" i="15"/>
  <c r="D9" i="15"/>
  <c r="F10" i="15"/>
  <c r="F9" i="15"/>
  <c r="L238" i="6"/>
  <c r="J238" i="6"/>
  <c r="L236" i="6"/>
  <c r="J236" i="6"/>
  <c r="J241" i="6"/>
  <c r="L242" i="6"/>
  <c r="J242" i="6"/>
  <c r="L241" i="6"/>
  <c r="L239" i="6"/>
  <c r="L240" i="6"/>
  <c r="J240" i="6"/>
  <c r="J239" i="6"/>
  <c r="L237" i="6"/>
  <c r="J237" i="6"/>
  <c r="L235" i="6"/>
  <c r="J235" i="6"/>
  <c r="L120" i="6"/>
  <c r="F120" i="6"/>
  <c r="F121" i="6" s="1"/>
  <c r="F122" i="6" s="1"/>
  <c r="F123" i="6" s="1"/>
  <c r="F124" i="6" s="1"/>
  <c r="F125" i="6" s="1"/>
  <c r="F126" i="6" s="1"/>
  <c r="F127" i="6" s="1"/>
  <c r="F128" i="6" s="1"/>
  <c r="F129" i="6" s="1"/>
  <c r="F130" i="6" s="1"/>
  <c r="F131" i="6" s="1"/>
  <c r="F133" i="6" s="1"/>
  <c r="F134" i="6" s="1"/>
  <c r="F135" i="6" s="1"/>
  <c r="F136" i="6" s="1"/>
  <c r="F137" i="6" s="1"/>
  <c r="F138" i="6" s="1"/>
  <c r="F140" i="6" s="1"/>
  <c r="F141" i="6" s="1"/>
  <c r="F142" i="6" s="1"/>
  <c r="F143" i="6" s="1"/>
  <c r="F144" i="6" s="1"/>
  <c r="F145" i="6" s="1"/>
  <c r="F146" i="6" s="1"/>
  <c r="F147" i="6" s="1"/>
  <c r="F148" i="6" s="1"/>
  <c r="F149" i="6" s="1"/>
  <c r="F151" i="6" s="1"/>
  <c r="F152" i="6" s="1"/>
  <c r="F153" i="6" s="1"/>
  <c r="F154" i="6" s="1"/>
  <c r="F155" i="6" s="1"/>
  <c r="F156" i="6" s="1"/>
  <c r="F157" i="6" s="1"/>
  <c r="F158" i="6" s="1"/>
  <c r="F159" i="6" s="1"/>
  <c r="F160" i="6" s="1"/>
  <c r="F161" i="6" s="1"/>
  <c r="F162" i="6" s="1"/>
  <c r="F163" i="6" s="1"/>
  <c r="F164" i="6" s="1"/>
  <c r="F165" i="6" s="1"/>
  <c r="F166" i="6" s="1"/>
  <c r="F167" i="6" s="1"/>
  <c r="F168" i="6" s="1"/>
  <c r="F169" i="6" s="1"/>
  <c r="F170" i="6" s="1"/>
  <c r="F171" i="6" s="1"/>
  <c r="F172" i="6" s="1"/>
  <c r="F173" i="6" s="1"/>
  <c r="F174" i="6" s="1"/>
  <c r="F175" i="6" s="1"/>
  <c r="F176" i="6" s="1"/>
  <c r="F177" i="6" s="1"/>
  <c r="F178" i="6" s="1"/>
  <c r="F179" i="6" s="1"/>
  <c r="F180" i="6" s="1"/>
  <c r="F181" i="6" s="1"/>
  <c r="F182" i="6" s="1"/>
  <c r="F183" i="6" s="1"/>
  <c r="F184" i="6" s="1"/>
  <c r="F185" i="6" s="1"/>
  <c r="F186" i="6" s="1"/>
  <c r="F187" i="6" s="1"/>
  <c r="F188" i="6" s="1"/>
  <c r="F189" i="6" s="1"/>
  <c r="F190" i="6" s="1"/>
  <c r="J120" i="6"/>
  <c r="AB354" i="1"/>
  <c r="AW354" i="1" s="1"/>
  <c r="AB353" i="1"/>
  <c r="AW353" i="1" s="1"/>
  <c r="AA354" i="1"/>
  <c r="AV354" i="1" s="1"/>
  <c r="AA353" i="1"/>
  <c r="AV353" i="1" s="1"/>
  <c r="AA352" i="1"/>
  <c r="AV352" i="1" s="1"/>
  <c r="AA351" i="1"/>
  <c r="AV351" i="1" s="1"/>
  <c r="F53" i="15" l="1"/>
  <c r="F25" i="15"/>
  <c r="D53" i="15"/>
  <c r="F44" i="15"/>
  <c r="F22" i="15"/>
  <c r="D22" i="15"/>
  <c r="F192" i="6"/>
  <c r="AV251" i="1"/>
  <c r="AW251" i="1"/>
  <c r="AV252" i="1"/>
  <c r="AW252" i="1"/>
  <c r="AV253" i="1"/>
  <c r="AW253" i="1"/>
  <c r="AV254" i="1"/>
  <c r="AW254" i="1"/>
  <c r="AV255" i="1"/>
  <c r="AW255" i="1"/>
  <c r="AV256" i="1"/>
  <c r="AW256" i="1"/>
  <c r="AV257" i="1"/>
  <c r="AW257" i="1"/>
  <c r="AV258" i="1"/>
  <c r="AW258" i="1"/>
  <c r="AV259" i="1"/>
  <c r="AW259" i="1"/>
  <c r="AV260" i="1"/>
  <c r="AW260" i="1"/>
  <c r="AV261" i="1"/>
  <c r="AW261" i="1"/>
  <c r="AV262" i="1"/>
  <c r="AW262" i="1"/>
  <c r="AV263" i="1"/>
  <c r="AW263" i="1"/>
  <c r="AV264" i="1"/>
  <c r="AW264" i="1"/>
  <c r="AV265" i="1"/>
  <c r="AW265" i="1"/>
  <c r="AV266" i="1"/>
  <c r="AW266" i="1"/>
  <c r="AV267" i="1"/>
  <c r="AW267" i="1"/>
  <c r="AV268" i="1"/>
  <c r="AW268" i="1"/>
  <c r="AV269" i="1"/>
  <c r="AW269" i="1"/>
  <c r="AV270" i="1"/>
  <c r="AW270" i="1"/>
  <c r="AV271" i="1"/>
  <c r="AW271" i="1"/>
  <c r="AV272" i="1"/>
  <c r="AW272" i="1"/>
  <c r="AV273" i="1"/>
  <c r="AW273" i="1"/>
  <c r="AV274" i="1"/>
  <c r="AW274" i="1"/>
  <c r="AV275" i="1"/>
  <c r="AW275" i="1"/>
  <c r="AW277" i="1"/>
  <c r="AV278" i="1"/>
  <c r="AW278" i="1"/>
  <c r="AV279" i="1"/>
  <c r="AW279" i="1"/>
  <c r="AV280" i="1"/>
  <c r="AW280" i="1"/>
  <c r="AV281" i="1"/>
  <c r="AW281" i="1"/>
  <c r="AV282" i="1"/>
  <c r="AW282" i="1"/>
  <c r="AV283" i="1"/>
  <c r="AW283" i="1"/>
  <c r="AV284" i="1"/>
  <c r="AW284" i="1"/>
  <c r="AV285" i="1"/>
  <c r="AW285" i="1"/>
  <c r="AV286" i="1"/>
  <c r="AW286" i="1"/>
  <c r="AV287" i="1"/>
  <c r="AW287" i="1"/>
  <c r="AV288" i="1"/>
  <c r="AW288" i="1"/>
  <c r="AV289" i="1"/>
  <c r="AW289" i="1"/>
  <c r="AV290" i="1"/>
  <c r="AW290" i="1"/>
  <c r="AV291" i="1"/>
  <c r="AW291" i="1"/>
  <c r="AV292" i="1"/>
  <c r="AW292" i="1"/>
  <c r="AV293" i="1"/>
  <c r="AW293" i="1"/>
  <c r="AV294" i="1"/>
  <c r="AW294" i="1"/>
  <c r="AV295" i="1"/>
  <c r="AW295" i="1"/>
  <c r="AV296" i="1"/>
  <c r="AW296" i="1"/>
  <c r="AV297" i="1"/>
  <c r="AW297" i="1"/>
  <c r="AV298" i="1"/>
  <c r="AW298" i="1"/>
  <c r="AV299" i="1"/>
  <c r="AW299" i="1"/>
  <c r="AV300" i="1"/>
  <c r="AW300" i="1"/>
  <c r="AV301" i="1"/>
  <c r="AW301" i="1"/>
  <c r="AV302" i="1"/>
  <c r="AW302" i="1"/>
  <c r="AV303" i="1"/>
  <c r="AW303" i="1"/>
  <c r="AV304" i="1"/>
  <c r="AW304" i="1"/>
  <c r="F52" i="15" l="1"/>
  <c r="D52" i="15"/>
  <c r="F50" i="15"/>
  <c r="D50" i="15"/>
  <c r="F18" i="15"/>
  <c r="D18" i="15"/>
  <c r="F17" i="15"/>
  <c r="D17" i="15"/>
  <c r="F16" i="15"/>
  <c r="D16" i="15"/>
  <c r="D8" i="15"/>
  <c r="F8" i="15"/>
  <c r="L223" i="6"/>
  <c r="J223" i="6"/>
  <c r="J204" i="6"/>
  <c r="L204" i="6"/>
  <c r="F193" i="6"/>
  <c r="F194" i="6" s="1"/>
  <c r="F195" i="6" s="1"/>
  <c r="F196" i="6" s="1"/>
  <c r="F197" i="6" s="1"/>
  <c r="F198" i="6" s="1"/>
  <c r="F199" i="6" s="1"/>
  <c r="F200" i="6" s="1"/>
  <c r="F201" i="6" s="1"/>
  <c r="F202" i="6" s="1"/>
  <c r="F203" i="6" s="1"/>
  <c r="L193" i="6"/>
  <c r="J193" i="6"/>
  <c r="L192" i="6"/>
  <c r="J192" i="6"/>
  <c r="AM277" i="1"/>
  <c r="AV277" i="1" s="1"/>
  <c r="AM276" i="1"/>
  <c r="AF245" i="1"/>
  <c r="AU246" i="1"/>
  <c r="F7" i="15" l="1"/>
  <c r="D7" i="15"/>
  <c r="D15" i="15"/>
  <c r="F15" i="15"/>
  <c r="F204" i="6"/>
  <c r="F205" i="6" s="1"/>
  <c r="F206" i="6" s="1"/>
  <c r="F207" i="6" s="1"/>
  <c r="F208" i="6" s="1"/>
  <c r="F209" i="6" s="1"/>
  <c r="F210" i="6" s="1"/>
  <c r="F211" i="6" s="1"/>
  <c r="F212" i="6" s="1"/>
  <c r="F213" i="6" s="1"/>
  <c r="F214" i="6" s="1"/>
  <c r="F215" i="6" s="1"/>
  <c r="F216" i="6" s="1"/>
  <c r="F217" i="6" s="1"/>
  <c r="F218" i="6" s="1"/>
  <c r="F219" i="6" s="1"/>
  <c r="F220" i="6" s="1"/>
  <c r="F221" i="6" s="1"/>
  <c r="F222" i="6" s="1"/>
  <c r="E41" i="8"/>
  <c r="AW276" i="1"/>
  <c r="C41" i="8"/>
  <c r="AV276" i="1"/>
  <c r="F223" i="6" l="1"/>
  <c r="F224" i="6" s="1"/>
  <c r="F225" i="6" s="1"/>
  <c r="F226" i="6" s="1"/>
  <c r="F227" i="6" s="1"/>
  <c r="F228" i="6" s="1"/>
  <c r="F229" i="6" s="1"/>
  <c r="F230" i="6" s="1"/>
  <c r="F231" i="6" s="1"/>
  <c r="F233" i="6" s="1"/>
  <c r="F234" i="6" s="1"/>
  <c r="F235" i="6" s="1"/>
  <c r="F237" i="6" s="1"/>
  <c r="F239" i="6" s="1"/>
  <c r="AV222" i="1"/>
  <c r="AW222" i="1"/>
  <c r="AV223" i="1"/>
  <c r="AV224" i="1"/>
  <c r="AW224" i="1"/>
  <c r="AV226" i="1"/>
  <c r="AW226" i="1"/>
  <c r="AV227" i="1"/>
  <c r="AW227" i="1"/>
  <c r="AV228" i="1"/>
  <c r="AW228" i="1"/>
  <c r="AV229" i="1"/>
  <c r="AW229" i="1"/>
  <c r="AV230" i="1"/>
  <c r="AW230" i="1"/>
  <c r="AV231" i="1"/>
  <c r="AW231" i="1"/>
  <c r="AV233" i="1"/>
  <c r="AW233" i="1"/>
  <c r="AV234" i="1"/>
  <c r="AW234" i="1"/>
  <c r="AV235" i="1"/>
  <c r="AW235" i="1"/>
  <c r="AV236" i="1"/>
  <c r="AW236" i="1"/>
  <c r="AV237" i="1"/>
  <c r="AW237" i="1"/>
  <c r="AV238" i="1"/>
  <c r="AW238" i="1"/>
  <c r="AV239" i="1"/>
  <c r="AW239" i="1"/>
  <c r="AV240" i="1"/>
  <c r="AW240" i="1"/>
  <c r="AV241" i="1"/>
  <c r="AW241" i="1"/>
  <c r="AV242" i="1"/>
  <c r="AW242" i="1"/>
  <c r="AV243" i="1"/>
  <c r="AW243" i="1"/>
  <c r="AV244" i="1"/>
  <c r="AW244" i="1"/>
  <c r="AV245" i="1"/>
  <c r="AW245" i="1"/>
  <c r="AV246" i="1"/>
  <c r="AW246" i="1"/>
  <c r="AV247" i="1"/>
  <c r="AW247" i="1"/>
  <c r="AV248" i="1"/>
  <c r="AW248" i="1"/>
  <c r="AV249" i="1"/>
  <c r="AW249" i="1"/>
  <c r="AV250" i="1"/>
  <c r="AW250" i="1"/>
  <c r="AV216" i="1"/>
  <c r="AW216" i="1"/>
  <c r="AV217" i="1"/>
  <c r="AW217" i="1"/>
  <c r="AV218" i="1"/>
  <c r="AW218" i="1"/>
  <c r="AV219" i="1"/>
  <c r="AW219" i="1"/>
  <c r="AV220" i="1"/>
  <c r="AW220" i="1"/>
  <c r="AV221" i="1"/>
  <c r="AW221" i="1"/>
  <c r="AV132" i="1"/>
  <c r="AW132" i="1"/>
  <c r="AV133" i="1"/>
  <c r="AW133" i="1"/>
  <c r="AV134" i="1"/>
  <c r="AW134" i="1"/>
  <c r="AV135" i="1"/>
  <c r="AW135" i="1"/>
  <c r="AV136" i="1"/>
  <c r="AW136" i="1"/>
  <c r="AV137" i="1"/>
  <c r="AW137" i="1"/>
  <c r="AV138" i="1"/>
  <c r="AW138" i="1"/>
  <c r="AV139" i="1"/>
  <c r="AW139" i="1"/>
  <c r="AV140" i="1"/>
  <c r="AW140" i="1"/>
  <c r="AV141" i="1"/>
  <c r="AW141" i="1"/>
  <c r="AV142" i="1"/>
  <c r="AW142" i="1"/>
  <c r="AV143" i="1"/>
  <c r="AW143" i="1"/>
  <c r="AV144" i="1"/>
  <c r="AW144" i="1"/>
  <c r="AV145" i="1"/>
  <c r="AW145" i="1"/>
  <c r="AV146" i="1"/>
  <c r="AW146" i="1"/>
  <c r="AV147" i="1"/>
  <c r="AW147" i="1"/>
  <c r="AV148" i="1"/>
  <c r="AW148" i="1"/>
  <c r="AV149" i="1"/>
  <c r="AW149" i="1"/>
  <c r="AV150" i="1"/>
  <c r="AW150" i="1"/>
  <c r="AV106" i="1"/>
  <c r="AV110" i="1"/>
  <c r="AW110" i="1"/>
  <c r="AV111" i="1"/>
  <c r="AW111" i="1"/>
  <c r="AV112" i="1"/>
  <c r="AW112" i="1"/>
  <c r="AV113" i="1"/>
  <c r="AW113" i="1"/>
  <c r="AV114" i="1"/>
  <c r="AW114" i="1"/>
  <c r="AV115" i="1"/>
  <c r="AW115" i="1"/>
  <c r="AV116" i="1"/>
  <c r="AW116" i="1"/>
  <c r="AV117" i="1"/>
  <c r="AW117" i="1"/>
  <c r="AV118" i="1"/>
  <c r="AW118" i="1"/>
  <c r="AV119" i="1"/>
  <c r="AW119" i="1"/>
  <c r="AV120" i="1"/>
  <c r="AW120" i="1"/>
  <c r="AV121" i="1"/>
  <c r="AW121" i="1"/>
  <c r="AV122" i="1"/>
  <c r="AW122" i="1"/>
  <c r="AV123" i="1"/>
  <c r="AW123" i="1"/>
  <c r="AV124" i="1"/>
  <c r="AW124" i="1"/>
  <c r="AV125" i="1"/>
  <c r="AW125" i="1"/>
  <c r="AV126" i="1"/>
  <c r="AW126" i="1"/>
  <c r="AV127" i="1"/>
  <c r="AW127" i="1"/>
  <c r="AV128" i="1"/>
  <c r="AW128" i="1"/>
  <c r="AV129" i="1"/>
  <c r="AW129" i="1"/>
  <c r="AV130" i="1"/>
  <c r="AW130" i="1"/>
  <c r="AV131" i="1"/>
  <c r="AW131" i="1"/>
  <c r="D32" i="15"/>
  <c r="AV100" i="1"/>
  <c r="AM98" i="1"/>
  <c r="AW98" i="1" l="1"/>
  <c r="AV98" i="1"/>
  <c r="AV99" i="1"/>
  <c r="D43" i="15"/>
  <c r="D49" i="15"/>
  <c r="F51" i="15"/>
  <c r="D28" i="15"/>
  <c r="D51" i="15"/>
  <c r="F49" i="15"/>
  <c r="D57" i="15"/>
  <c r="F59" i="15"/>
  <c r="D59" i="15"/>
  <c r="F57" i="15"/>
  <c r="F43" i="15"/>
  <c r="F41" i="15"/>
  <c r="D41" i="15"/>
  <c r="F39" i="15"/>
  <c r="D39" i="15"/>
  <c r="F37" i="15"/>
  <c r="D37" i="15"/>
  <c r="D36" i="15"/>
  <c r="F36" i="15"/>
  <c r="F32" i="15"/>
  <c r="F21" i="15"/>
  <c r="D21" i="15"/>
  <c r="F20" i="15"/>
  <c r="D20" i="15"/>
  <c r="F4" i="15"/>
  <c r="D6" i="15"/>
  <c r="D5" i="15"/>
  <c r="D4" i="15"/>
  <c r="F5" i="15"/>
  <c r="F6" i="15"/>
  <c r="L87" i="6"/>
  <c r="J87" i="6"/>
  <c r="F244" i="6"/>
  <c r="F245" i="6" s="1"/>
  <c r="F246" i="6" s="1"/>
  <c r="F247" i="6" s="1"/>
  <c r="F249" i="6" s="1"/>
  <c r="F250" i="6" s="1"/>
  <c r="F251" i="6" s="1"/>
  <c r="F252" i="6" s="1"/>
  <c r="F253" i="6" s="1"/>
  <c r="F254" i="6" s="1"/>
  <c r="F255" i="6" s="1"/>
  <c r="F256" i="6" s="1"/>
  <c r="F257" i="6" s="1"/>
  <c r="F258" i="6" s="1"/>
  <c r="F259" i="6" s="1"/>
  <c r="F260" i="6" s="1"/>
  <c r="F262" i="6" s="1"/>
  <c r="F263" i="6" s="1"/>
  <c r="F241" i="6"/>
  <c r="L88" i="6"/>
  <c r="J88" i="6"/>
  <c r="L78" i="6"/>
  <c r="J78" i="6"/>
  <c r="E64" i="8"/>
  <c r="C64" i="8"/>
  <c r="E62" i="8"/>
  <c r="E61" i="8"/>
  <c r="E59" i="8"/>
  <c r="C59" i="8"/>
  <c r="B59" i="8"/>
  <c r="E58" i="8"/>
  <c r="C58" i="8"/>
  <c r="E57" i="8"/>
  <c r="C57" i="8"/>
  <c r="E56" i="8"/>
  <c r="C56" i="8"/>
  <c r="E51" i="8"/>
  <c r="C51" i="8"/>
  <c r="E49" i="8"/>
  <c r="C49" i="8"/>
  <c r="E48" i="8"/>
  <c r="C48" i="8"/>
  <c r="E47" i="8"/>
  <c r="C47" i="8"/>
  <c r="E46" i="8"/>
  <c r="C46" i="8"/>
  <c r="E45" i="8"/>
  <c r="C45" i="8"/>
  <c r="E44" i="8"/>
  <c r="C44" i="8"/>
  <c r="E42" i="8"/>
  <c r="C42" i="8"/>
  <c r="E40" i="8"/>
  <c r="C40" i="8"/>
  <c r="E37" i="8"/>
  <c r="C37" i="8"/>
  <c r="E36" i="8"/>
  <c r="C36" i="8"/>
  <c r="E35" i="8"/>
  <c r="C35" i="8"/>
  <c r="E34" i="8"/>
  <c r="C34" i="8"/>
  <c r="E32" i="8"/>
  <c r="C32" i="8"/>
  <c r="E31" i="8"/>
  <c r="C31" i="8"/>
  <c r="E29" i="8"/>
  <c r="C29" i="8"/>
  <c r="E28" i="8"/>
  <c r="C28" i="8"/>
  <c r="E26" i="8"/>
  <c r="C26" i="8"/>
  <c r="E25" i="8"/>
  <c r="C25" i="8"/>
  <c r="E23" i="8"/>
  <c r="C23" i="8"/>
  <c r="E22" i="8"/>
  <c r="C22" i="8"/>
  <c r="E21" i="8"/>
  <c r="C21" i="8"/>
  <c r="E19" i="8"/>
  <c r="C19" i="8"/>
  <c r="C18" i="8"/>
  <c r="E16" i="8"/>
  <c r="C16" i="8"/>
  <c r="E15" i="8"/>
  <c r="C15" i="8"/>
  <c r="E14" i="8"/>
  <c r="C14" i="8"/>
  <c r="E13" i="8"/>
  <c r="C13" i="8"/>
  <c r="E12" i="8"/>
  <c r="C12" i="8"/>
  <c r="E10" i="8"/>
  <c r="C10" i="8"/>
  <c r="E9" i="8"/>
  <c r="C9" i="8"/>
  <c r="E8" i="8"/>
  <c r="C8" i="8"/>
  <c r="E4" i="8"/>
  <c r="C4" i="8"/>
  <c r="L263" i="6"/>
  <c r="J263" i="6"/>
  <c r="H263" i="6"/>
  <c r="G263" i="6"/>
  <c r="E263" i="6"/>
  <c r="D263" i="6"/>
  <c r="L262" i="6"/>
  <c r="J262" i="6"/>
  <c r="H262" i="6"/>
  <c r="G262" i="6"/>
  <c r="E262" i="6"/>
  <c r="D262" i="6"/>
  <c r="L260" i="6"/>
  <c r="J260" i="6"/>
  <c r="H260" i="6"/>
  <c r="G260" i="6"/>
  <c r="E260" i="6"/>
  <c r="D260" i="6"/>
  <c r="L259" i="6"/>
  <c r="H259" i="6"/>
  <c r="G259" i="6"/>
  <c r="E259" i="6"/>
  <c r="D259" i="6"/>
  <c r="L258" i="6"/>
  <c r="J258" i="6"/>
  <c r="H258" i="6"/>
  <c r="G258" i="6"/>
  <c r="E258" i="6"/>
  <c r="D258" i="6"/>
  <c r="L257" i="6"/>
  <c r="H257" i="6"/>
  <c r="G257" i="6"/>
  <c r="E257" i="6"/>
  <c r="D257" i="6"/>
  <c r="L256" i="6"/>
  <c r="J256" i="6"/>
  <c r="H256" i="6"/>
  <c r="G256" i="6"/>
  <c r="E256" i="6"/>
  <c r="D256" i="6"/>
  <c r="L255" i="6"/>
  <c r="H255" i="6"/>
  <c r="G255" i="6"/>
  <c r="E255" i="6"/>
  <c r="D255" i="6"/>
  <c r="L254" i="6"/>
  <c r="J254" i="6"/>
  <c r="H254" i="6"/>
  <c r="G254" i="6"/>
  <c r="E254" i="6"/>
  <c r="D254" i="6"/>
  <c r="L253" i="6"/>
  <c r="H253" i="6"/>
  <c r="G253" i="6"/>
  <c r="E253" i="6"/>
  <c r="D253" i="6"/>
  <c r="L252" i="6"/>
  <c r="J252" i="6"/>
  <c r="H252" i="6"/>
  <c r="G252" i="6"/>
  <c r="E252" i="6"/>
  <c r="D252" i="6"/>
  <c r="L251" i="6"/>
  <c r="J251" i="6"/>
  <c r="H251" i="6"/>
  <c r="G251" i="6"/>
  <c r="E251" i="6"/>
  <c r="D251" i="6"/>
  <c r="L250" i="6"/>
  <c r="J250" i="6"/>
  <c r="H250" i="6"/>
  <c r="G250" i="6"/>
  <c r="E250" i="6"/>
  <c r="D250" i="6"/>
  <c r="L249" i="6"/>
  <c r="J249" i="6"/>
  <c r="H249" i="6"/>
  <c r="G249" i="6"/>
  <c r="E249" i="6"/>
  <c r="D249" i="6"/>
  <c r="L247" i="6"/>
  <c r="J247" i="6"/>
  <c r="H247" i="6"/>
  <c r="G247" i="6"/>
  <c r="E247" i="6"/>
  <c r="D247" i="6"/>
  <c r="L246" i="6"/>
  <c r="J246" i="6"/>
  <c r="H246" i="6"/>
  <c r="G246" i="6"/>
  <c r="E246" i="6"/>
  <c r="D246" i="6"/>
  <c r="L245" i="6"/>
  <c r="J245" i="6"/>
  <c r="H245" i="6"/>
  <c r="G245" i="6"/>
  <c r="E245" i="6"/>
  <c r="D245" i="6"/>
  <c r="L244" i="6"/>
  <c r="J244" i="6"/>
  <c r="H244" i="6"/>
  <c r="G244" i="6"/>
  <c r="E244" i="6"/>
  <c r="D244" i="6"/>
  <c r="H242" i="6"/>
  <c r="G242" i="6"/>
  <c r="E242" i="6"/>
  <c r="D242" i="6"/>
  <c r="H237" i="6"/>
  <c r="G237" i="6"/>
  <c r="E237" i="6"/>
  <c r="D237" i="6"/>
  <c r="H235" i="6"/>
  <c r="G235" i="6"/>
  <c r="E235" i="6"/>
  <c r="D235" i="6"/>
  <c r="L234" i="6"/>
  <c r="J234" i="6"/>
  <c r="H234" i="6"/>
  <c r="G234" i="6"/>
  <c r="E234" i="6"/>
  <c r="D234" i="6"/>
  <c r="L233" i="6"/>
  <c r="J233" i="6"/>
  <c r="H233" i="6"/>
  <c r="G233" i="6"/>
  <c r="E233" i="6"/>
  <c r="D233" i="6"/>
  <c r="L231" i="6"/>
  <c r="J231" i="6"/>
  <c r="H231" i="6"/>
  <c r="G231" i="6"/>
  <c r="E231" i="6"/>
  <c r="D231" i="6"/>
  <c r="L230" i="6"/>
  <c r="J230" i="6"/>
  <c r="H230" i="6"/>
  <c r="G230" i="6"/>
  <c r="D230" i="6"/>
  <c r="L229" i="6"/>
  <c r="J229" i="6"/>
  <c r="G229" i="6"/>
  <c r="D229" i="6"/>
  <c r="L228" i="6"/>
  <c r="J228" i="6"/>
  <c r="H228" i="6"/>
  <c r="G228" i="6"/>
  <c r="D228" i="6"/>
  <c r="L227" i="6"/>
  <c r="J227" i="6"/>
  <c r="H227" i="6"/>
  <c r="G227" i="6"/>
  <c r="D227" i="6"/>
  <c r="L226" i="6"/>
  <c r="J226" i="6"/>
  <c r="H226" i="6"/>
  <c r="G226" i="6"/>
  <c r="D226" i="6"/>
  <c r="L225" i="6"/>
  <c r="J225" i="6"/>
  <c r="H225" i="6"/>
  <c r="G225" i="6"/>
  <c r="D225" i="6"/>
  <c r="L224" i="6"/>
  <c r="J224" i="6"/>
  <c r="H224" i="6"/>
  <c r="G224" i="6"/>
  <c r="L222" i="6"/>
  <c r="J222" i="6"/>
  <c r="H222" i="6"/>
  <c r="G222" i="6"/>
  <c r="L221" i="6"/>
  <c r="J221" i="6"/>
  <c r="H221" i="6"/>
  <c r="G221" i="6"/>
  <c r="L220" i="6"/>
  <c r="J220" i="6"/>
  <c r="H220" i="6"/>
  <c r="G220" i="6"/>
  <c r="E220" i="6"/>
  <c r="D220" i="6"/>
  <c r="L219" i="6"/>
  <c r="J219" i="6"/>
  <c r="H219" i="6"/>
  <c r="G219" i="6"/>
  <c r="D219" i="6"/>
  <c r="L218" i="6"/>
  <c r="J218" i="6"/>
  <c r="H218" i="6"/>
  <c r="G218" i="6"/>
  <c r="D218" i="6"/>
  <c r="L217" i="6"/>
  <c r="J217" i="6"/>
  <c r="H217" i="6"/>
  <c r="G217" i="6"/>
  <c r="D217" i="6"/>
  <c r="L216" i="6"/>
  <c r="J216" i="6"/>
  <c r="H216" i="6"/>
  <c r="G216" i="6"/>
  <c r="D216" i="6"/>
  <c r="L215" i="6"/>
  <c r="J215" i="6"/>
  <c r="G215" i="6"/>
  <c r="D215" i="6"/>
  <c r="L214" i="6"/>
  <c r="J214" i="6"/>
  <c r="H214" i="6"/>
  <c r="G214" i="6"/>
  <c r="D214" i="6"/>
  <c r="L213" i="6"/>
  <c r="J213" i="6"/>
  <c r="H213" i="6"/>
  <c r="G213" i="6"/>
  <c r="D213" i="6"/>
  <c r="L212" i="6"/>
  <c r="J212" i="6"/>
  <c r="H212" i="6"/>
  <c r="G212" i="6"/>
  <c r="D212" i="6"/>
  <c r="L211" i="6"/>
  <c r="J211" i="6"/>
  <c r="H211" i="6"/>
  <c r="G211" i="6"/>
  <c r="D211" i="6"/>
  <c r="L210" i="6"/>
  <c r="J210" i="6"/>
  <c r="H210" i="6"/>
  <c r="G210" i="6"/>
  <c r="D210" i="6"/>
  <c r="L209" i="6"/>
  <c r="J209" i="6"/>
  <c r="H209" i="6"/>
  <c r="G209" i="6"/>
  <c r="D209" i="6"/>
  <c r="L208" i="6"/>
  <c r="J208" i="6"/>
  <c r="H208" i="6"/>
  <c r="G208" i="6"/>
  <c r="D208" i="6"/>
  <c r="L207" i="6"/>
  <c r="J207" i="6"/>
  <c r="H207" i="6"/>
  <c r="G207" i="6"/>
  <c r="D207" i="6"/>
  <c r="L206" i="6"/>
  <c r="J206" i="6"/>
  <c r="H206" i="6"/>
  <c r="G206" i="6"/>
  <c r="D206" i="6"/>
  <c r="L205" i="6"/>
  <c r="J205" i="6"/>
  <c r="H205" i="6"/>
  <c r="G205" i="6"/>
  <c r="D205" i="6"/>
  <c r="L203" i="6"/>
  <c r="J203" i="6"/>
  <c r="H203" i="6"/>
  <c r="G203" i="6"/>
  <c r="D203" i="6"/>
  <c r="L202" i="6"/>
  <c r="J202" i="6"/>
  <c r="H202" i="6"/>
  <c r="G202" i="6"/>
  <c r="D202" i="6"/>
  <c r="L201" i="6"/>
  <c r="J201" i="6"/>
  <c r="H201" i="6"/>
  <c r="G201" i="6"/>
  <c r="E201" i="6"/>
  <c r="D201" i="6"/>
  <c r="L200" i="6"/>
  <c r="J200" i="6"/>
  <c r="H200" i="6"/>
  <c r="G200" i="6"/>
  <c r="E200" i="6"/>
  <c r="D200" i="6"/>
  <c r="L199" i="6"/>
  <c r="J199" i="6"/>
  <c r="H199" i="6"/>
  <c r="G199" i="6"/>
  <c r="E199" i="6"/>
  <c r="D199" i="6"/>
  <c r="L198" i="6"/>
  <c r="J198" i="6"/>
  <c r="H198" i="6"/>
  <c r="G198" i="6"/>
  <c r="E198" i="6"/>
  <c r="D198" i="6"/>
  <c r="L197" i="6"/>
  <c r="J197" i="6"/>
  <c r="H197" i="6"/>
  <c r="G197" i="6"/>
  <c r="E197" i="6"/>
  <c r="D197" i="6"/>
  <c r="L196" i="6"/>
  <c r="J196" i="6"/>
  <c r="H196" i="6"/>
  <c r="G196" i="6"/>
  <c r="E196" i="6"/>
  <c r="D196" i="6"/>
  <c r="L195" i="6"/>
  <c r="J195" i="6"/>
  <c r="H195" i="6"/>
  <c r="G195" i="6"/>
  <c r="E195" i="6"/>
  <c r="D195" i="6"/>
  <c r="L194" i="6"/>
  <c r="J194" i="6"/>
  <c r="H194" i="6"/>
  <c r="G194" i="6"/>
  <c r="E194" i="6"/>
  <c r="D194" i="6"/>
  <c r="L190" i="6"/>
  <c r="J190" i="6"/>
  <c r="H190" i="6"/>
  <c r="G190" i="6"/>
  <c r="D190" i="6"/>
  <c r="L189" i="6"/>
  <c r="J189" i="6"/>
  <c r="H189" i="6"/>
  <c r="G189" i="6"/>
  <c r="D189" i="6"/>
  <c r="L188" i="6"/>
  <c r="J188" i="6"/>
  <c r="H188" i="6"/>
  <c r="G188" i="6"/>
  <c r="D188" i="6"/>
  <c r="L187" i="6"/>
  <c r="J187" i="6"/>
  <c r="H187" i="6"/>
  <c r="G187" i="6"/>
  <c r="D187" i="6"/>
  <c r="L186" i="6"/>
  <c r="J186" i="6"/>
  <c r="H186" i="6"/>
  <c r="G186" i="6"/>
  <c r="D186" i="6"/>
  <c r="L185" i="6"/>
  <c r="J185" i="6"/>
  <c r="H185" i="6"/>
  <c r="G185" i="6"/>
  <c r="D185" i="6"/>
  <c r="L184" i="6"/>
  <c r="J184" i="6"/>
  <c r="H184" i="6"/>
  <c r="G184" i="6"/>
  <c r="D184" i="6"/>
  <c r="L183" i="6"/>
  <c r="J183" i="6"/>
  <c r="H183" i="6"/>
  <c r="G183" i="6"/>
  <c r="D183" i="6"/>
  <c r="L182" i="6"/>
  <c r="J182" i="6"/>
  <c r="H182" i="6"/>
  <c r="G182" i="6"/>
  <c r="D182" i="6"/>
  <c r="L181" i="6"/>
  <c r="J181" i="6"/>
  <c r="H181" i="6"/>
  <c r="G181" i="6"/>
  <c r="D181" i="6"/>
  <c r="L180" i="6"/>
  <c r="J180" i="6"/>
  <c r="H180" i="6"/>
  <c r="G180" i="6"/>
  <c r="D180" i="6"/>
  <c r="L179" i="6"/>
  <c r="J179" i="6"/>
  <c r="H179" i="6"/>
  <c r="G179" i="6"/>
  <c r="D179" i="6"/>
  <c r="L178" i="6"/>
  <c r="J178" i="6"/>
  <c r="H178" i="6"/>
  <c r="G178" i="6"/>
  <c r="D178" i="6"/>
  <c r="L177" i="6"/>
  <c r="J177" i="6"/>
  <c r="H177" i="6"/>
  <c r="G177" i="6"/>
  <c r="D177" i="6"/>
  <c r="L176" i="6"/>
  <c r="J176" i="6"/>
  <c r="H176" i="6"/>
  <c r="G176" i="6"/>
  <c r="D176" i="6"/>
  <c r="L175" i="6"/>
  <c r="J175" i="6"/>
  <c r="H175" i="6"/>
  <c r="G175" i="6"/>
  <c r="D175" i="6"/>
  <c r="L174" i="6"/>
  <c r="J174" i="6"/>
  <c r="H174" i="6"/>
  <c r="G174" i="6"/>
  <c r="D174" i="6"/>
  <c r="L173" i="6"/>
  <c r="J173" i="6"/>
  <c r="H173" i="6"/>
  <c r="G173" i="6"/>
  <c r="D173" i="6"/>
  <c r="L172" i="6"/>
  <c r="J172" i="6"/>
  <c r="H172" i="6"/>
  <c r="G172" i="6"/>
  <c r="D172" i="6"/>
  <c r="L171" i="6"/>
  <c r="J171" i="6"/>
  <c r="L170" i="6"/>
  <c r="J170" i="6"/>
  <c r="H170" i="6"/>
  <c r="G170" i="6"/>
  <c r="D170" i="6"/>
  <c r="L169" i="6"/>
  <c r="J169" i="6"/>
  <c r="H169" i="6"/>
  <c r="G169" i="6"/>
  <c r="D169" i="6"/>
  <c r="L168" i="6"/>
  <c r="J168" i="6"/>
  <c r="H168" i="6"/>
  <c r="G168" i="6"/>
  <c r="D168" i="6"/>
  <c r="L167" i="6"/>
  <c r="J167" i="6"/>
  <c r="H167" i="6"/>
  <c r="G167" i="6"/>
  <c r="D167" i="6"/>
  <c r="L166" i="6"/>
  <c r="J166" i="6"/>
  <c r="H166" i="6"/>
  <c r="G166" i="6"/>
  <c r="D166" i="6"/>
  <c r="L165" i="6"/>
  <c r="J165" i="6"/>
  <c r="H165" i="6"/>
  <c r="G165" i="6"/>
  <c r="D165" i="6"/>
  <c r="L164" i="6"/>
  <c r="J164" i="6"/>
  <c r="H164" i="6"/>
  <c r="G164" i="6"/>
  <c r="D164" i="6"/>
  <c r="L163" i="6"/>
  <c r="J163" i="6"/>
  <c r="H163" i="6"/>
  <c r="G163" i="6"/>
  <c r="D163" i="6"/>
  <c r="L162" i="6"/>
  <c r="J162" i="6"/>
  <c r="H162" i="6"/>
  <c r="G162" i="6"/>
  <c r="D162" i="6"/>
  <c r="L161" i="6"/>
  <c r="J161" i="6"/>
  <c r="H161" i="6"/>
  <c r="G161" i="6"/>
  <c r="D161" i="6"/>
  <c r="L160" i="6"/>
  <c r="J160" i="6"/>
  <c r="H160" i="6"/>
  <c r="G160" i="6"/>
  <c r="D160" i="6"/>
  <c r="L159" i="6"/>
  <c r="J159" i="6"/>
  <c r="H159" i="6"/>
  <c r="G159" i="6"/>
  <c r="D159" i="6"/>
  <c r="L158" i="6"/>
  <c r="J158" i="6"/>
  <c r="G158" i="6"/>
  <c r="D158" i="6"/>
  <c r="L157" i="6"/>
  <c r="J157" i="6"/>
  <c r="H157" i="6"/>
  <c r="G157" i="6"/>
  <c r="D157" i="6"/>
  <c r="L156" i="6"/>
  <c r="J156" i="6"/>
  <c r="H156" i="6"/>
  <c r="G156" i="6"/>
  <c r="D156" i="6"/>
  <c r="L155" i="6"/>
  <c r="J155" i="6"/>
  <c r="H155" i="6"/>
  <c r="G155" i="6"/>
  <c r="D155" i="6"/>
  <c r="L154" i="6"/>
  <c r="J154" i="6"/>
  <c r="H154" i="6"/>
  <c r="G154" i="6"/>
  <c r="D154" i="6"/>
  <c r="L153" i="6"/>
  <c r="J153" i="6"/>
  <c r="H153" i="6"/>
  <c r="G153" i="6"/>
  <c r="D153" i="6"/>
  <c r="L152" i="6"/>
  <c r="J152" i="6"/>
  <c r="H152" i="6"/>
  <c r="G152" i="6"/>
  <c r="D152" i="6"/>
  <c r="L151" i="6"/>
  <c r="J151" i="6"/>
  <c r="H151" i="6"/>
  <c r="G151" i="6"/>
  <c r="D151" i="6"/>
  <c r="L149" i="6"/>
  <c r="J149" i="6"/>
  <c r="H149" i="6"/>
  <c r="G149" i="6"/>
  <c r="D149" i="6"/>
  <c r="L148" i="6"/>
  <c r="J148" i="6"/>
  <c r="H148" i="6"/>
  <c r="G148" i="6"/>
  <c r="D148" i="6"/>
  <c r="L147" i="6"/>
  <c r="J147" i="6"/>
  <c r="H147" i="6"/>
  <c r="G147" i="6"/>
  <c r="D147" i="6"/>
  <c r="L146" i="6"/>
  <c r="J146" i="6"/>
  <c r="H146" i="6"/>
  <c r="G146" i="6"/>
  <c r="D146" i="6"/>
  <c r="L145" i="6"/>
  <c r="J145" i="6"/>
  <c r="H145" i="6"/>
  <c r="G145" i="6"/>
  <c r="D145" i="6"/>
  <c r="L144" i="6"/>
  <c r="J144" i="6"/>
  <c r="H144" i="6"/>
  <c r="G144" i="6"/>
  <c r="D144" i="6"/>
  <c r="L143" i="6"/>
  <c r="J143" i="6"/>
  <c r="H143" i="6"/>
  <c r="G143" i="6"/>
  <c r="D143" i="6"/>
  <c r="L142" i="6"/>
  <c r="J142" i="6"/>
  <c r="H142" i="6"/>
  <c r="G142" i="6"/>
  <c r="D142" i="6"/>
  <c r="L141" i="6"/>
  <c r="J141" i="6"/>
  <c r="H141" i="6"/>
  <c r="G141" i="6"/>
  <c r="D141" i="6"/>
  <c r="L140" i="6"/>
  <c r="J140" i="6"/>
  <c r="H140" i="6"/>
  <c r="G140" i="6"/>
  <c r="D140" i="6"/>
  <c r="L138" i="6"/>
  <c r="J138" i="6"/>
  <c r="H138" i="6"/>
  <c r="G138" i="6"/>
  <c r="D138" i="6"/>
  <c r="L137" i="6"/>
  <c r="J137" i="6"/>
  <c r="H137" i="6"/>
  <c r="G137" i="6"/>
  <c r="D137" i="6"/>
  <c r="L136" i="6"/>
  <c r="J136" i="6"/>
  <c r="H136" i="6"/>
  <c r="G136" i="6"/>
  <c r="D136" i="6"/>
  <c r="L135" i="6"/>
  <c r="J135" i="6"/>
  <c r="H135" i="6"/>
  <c r="G135" i="6"/>
  <c r="D135" i="6"/>
  <c r="L134" i="6"/>
  <c r="J134" i="6"/>
  <c r="H134" i="6"/>
  <c r="G134" i="6"/>
  <c r="D134" i="6"/>
  <c r="L133" i="6"/>
  <c r="J133" i="6"/>
  <c r="H133" i="6"/>
  <c r="G133" i="6"/>
  <c r="D133" i="6"/>
  <c r="L131" i="6"/>
  <c r="J131" i="6"/>
  <c r="H131" i="6"/>
  <c r="G131" i="6"/>
  <c r="D131" i="6"/>
  <c r="L130" i="6"/>
  <c r="J130" i="6"/>
  <c r="H130" i="6"/>
  <c r="G130" i="6"/>
  <c r="D130" i="6"/>
  <c r="L129" i="6"/>
  <c r="J129" i="6"/>
  <c r="H129" i="6"/>
  <c r="G129" i="6"/>
  <c r="D129" i="6"/>
  <c r="L128" i="6"/>
  <c r="J128" i="6"/>
  <c r="H128" i="6"/>
  <c r="G128" i="6"/>
  <c r="D128" i="6"/>
  <c r="L127" i="6"/>
  <c r="J127" i="6"/>
  <c r="H127" i="6"/>
  <c r="G127" i="6"/>
  <c r="D127" i="6"/>
  <c r="L126" i="6"/>
  <c r="J126" i="6"/>
  <c r="H126" i="6"/>
  <c r="G126" i="6"/>
  <c r="D126" i="6"/>
  <c r="L125" i="6"/>
  <c r="J125" i="6"/>
  <c r="H125" i="6"/>
  <c r="G125" i="6"/>
  <c r="D125" i="6"/>
  <c r="L124" i="6"/>
  <c r="J124" i="6"/>
  <c r="H124" i="6"/>
  <c r="G124" i="6"/>
  <c r="D124" i="6"/>
  <c r="L123" i="6"/>
  <c r="J123" i="6"/>
  <c r="H123" i="6"/>
  <c r="G123" i="6"/>
  <c r="D123" i="6"/>
  <c r="L122" i="6"/>
  <c r="J122" i="6"/>
  <c r="H122" i="6"/>
  <c r="G122" i="6"/>
  <c r="E122" i="6"/>
  <c r="D122" i="6"/>
  <c r="L121" i="6"/>
  <c r="J121" i="6"/>
  <c r="H121" i="6"/>
  <c r="G121" i="6"/>
  <c r="E121" i="6"/>
  <c r="D121" i="6"/>
  <c r="L119" i="6"/>
  <c r="J119" i="6"/>
  <c r="H119" i="6"/>
  <c r="G119" i="6"/>
  <c r="D119" i="6"/>
  <c r="L118" i="6"/>
  <c r="J118" i="6"/>
  <c r="H118" i="6"/>
  <c r="G118" i="6"/>
  <c r="D118" i="6"/>
  <c r="L117" i="6"/>
  <c r="J117" i="6"/>
  <c r="H117" i="6"/>
  <c r="G117" i="6"/>
  <c r="D117" i="6"/>
  <c r="L116" i="6"/>
  <c r="J116" i="6"/>
  <c r="H116" i="6"/>
  <c r="G116" i="6"/>
  <c r="D116" i="6"/>
  <c r="L115" i="6"/>
  <c r="J115" i="6"/>
  <c r="H115" i="6"/>
  <c r="G115" i="6"/>
  <c r="D115" i="6"/>
  <c r="L114" i="6"/>
  <c r="J114" i="6"/>
  <c r="H114" i="6"/>
  <c r="G114" i="6"/>
  <c r="D114" i="6"/>
  <c r="L113" i="6"/>
  <c r="J113" i="6"/>
  <c r="H113" i="6"/>
  <c r="G113" i="6"/>
  <c r="D113" i="6"/>
  <c r="L112" i="6"/>
  <c r="J112" i="6"/>
  <c r="H112" i="6"/>
  <c r="G112" i="6"/>
  <c r="D112" i="6"/>
  <c r="L111" i="6"/>
  <c r="J111" i="6"/>
  <c r="H111" i="6"/>
  <c r="G111" i="6"/>
  <c r="D111" i="6"/>
  <c r="L110" i="6"/>
  <c r="J110" i="6"/>
  <c r="H110" i="6"/>
  <c r="G110" i="6"/>
  <c r="D110" i="6"/>
  <c r="L109" i="6"/>
  <c r="J109" i="6"/>
  <c r="H109" i="6"/>
  <c r="G109" i="6"/>
  <c r="D109" i="6"/>
  <c r="L108" i="6"/>
  <c r="J108" i="6"/>
  <c r="H108" i="6"/>
  <c r="G108" i="6"/>
  <c r="D108" i="6"/>
  <c r="L107" i="6"/>
  <c r="J107" i="6"/>
  <c r="H107" i="6"/>
  <c r="G107" i="6"/>
  <c r="D107" i="6"/>
  <c r="L106" i="6"/>
  <c r="J106" i="6"/>
  <c r="H106" i="6"/>
  <c r="G106" i="6"/>
  <c r="E106" i="6"/>
  <c r="D106" i="6"/>
  <c r="L105" i="6"/>
  <c r="J105" i="6"/>
  <c r="H105" i="6"/>
  <c r="G105" i="6"/>
  <c r="E105" i="6"/>
  <c r="D105" i="6"/>
  <c r="L104" i="6"/>
  <c r="J104" i="6"/>
  <c r="H104" i="6"/>
  <c r="G104" i="6"/>
  <c r="E104" i="6"/>
  <c r="D104" i="6"/>
  <c r="L103" i="6"/>
  <c r="J103" i="6"/>
  <c r="H103" i="6"/>
  <c r="G103" i="6"/>
  <c r="E103" i="6"/>
  <c r="D103" i="6"/>
  <c r="L102" i="6"/>
  <c r="J102" i="6"/>
  <c r="H102" i="6"/>
  <c r="G102" i="6"/>
  <c r="D102" i="6"/>
  <c r="L101" i="6"/>
  <c r="J101" i="6"/>
  <c r="H101" i="6"/>
  <c r="G101" i="6"/>
  <c r="D101" i="6"/>
  <c r="L100" i="6"/>
  <c r="J100" i="6"/>
  <c r="H100" i="6"/>
  <c r="G100" i="6"/>
  <c r="E100" i="6"/>
  <c r="D100" i="6"/>
  <c r="L99" i="6"/>
  <c r="J99" i="6"/>
  <c r="H99" i="6"/>
  <c r="G99" i="6"/>
  <c r="E99" i="6"/>
  <c r="D99" i="6"/>
  <c r="L97" i="6"/>
  <c r="J97" i="6"/>
  <c r="H97" i="6"/>
  <c r="G97" i="6"/>
  <c r="D97" i="6"/>
  <c r="L96" i="6"/>
  <c r="J96" i="6"/>
  <c r="H96" i="6"/>
  <c r="G96" i="6"/>
  <c r="D96" i="6"/>
  <c r="L95" i="6"/>
  <c r="J95" i="6"/>
  <c r="H95" i="6"/>
  <c r="G95" i="6"/>
  <c r="D95" i="6"/>
  <c r="L94" i="6"/>
  <c r="J94" i="6"/>
  <c r="H94" i="6"/>
  <c r="G94" i="6"/>
  <c r="D94" i="6"/>
  <c r="L93" i="6"/>
  <c r="J93" i="6"/>
  <c r="H93" i="6"/>
  <c r="G93" i="6"/>
  <c r="D93" i="6"/>
  <c r="L92" i="6"/>
  <c r="J92" i="6"/>
  <c r="H92" i="6"/>
  <c r="G92" i="6"/>
  <c r="D92" i="6"/>
  <c r="H90" i="6"/>
  <c r="G90" i="6"/>
  <c r="D90" i="6"/>
  <c r="L89" i="6"/>
  <c r="J89" i="6"/>
  <c r="H89" i="6"/>
  <c r="G89" i="6"/>
  <c r="D89" i="6"/>
  <c r="H87" i="6"/>
  <c r="G87" i="6"/>
  <c r="D87" i="6"/>
  <c r="H85" i="6"/>
  <c r="G85" i="6"/>
  <c r="D85" i="6"/>
  <c r="L83" i="6"/>
  <c r="J83" i="6"/>
  <c r="H83" i="6"/>
  <c r="G83" i="6"/>
  <c r="D83" i="6"/>
  <c r="L82" i="6"/>
  <c r="J82" i="6"/>
  <c r="H82" i="6"/>
  <c r="G82" i="6"/>
  <c r="D82" i="6"/>
  <c r="L81" i="6"/>
  <c r="J81" i="6"/>
  <c r="H81" i="6"/>
  <c r="G81" i="6"/>
  <c r="D81" i="6"/>
  <c r="L80" i="6"/>
  <c r="J80" i="6"/>
  <c r="H80" i="6"/>
  <c r="G80" i="6"/>
  <c r="D80" i="6"/>
  <c r="L79" i="6"/>
  <c r="J79" i="6"/>
  <c r="H79" i="6"/>
  <c r="G79" i="6"/>
  <c r="D79" i="6"/>
  <c r="L77" i="6"/>
  <c r="J77" i="6"/>
  <c r="H77" i="6"/>
  <c r="G77" i="6"/>
  <c r="D77" i="6"/>
  <c r="L75" i="6"/>
  <c r="J75" i="6"/>
  <c r="H75" i="6"/>
  <c r="G75" i="6"/>
  <c r="D75" i="6"/>
  <c r="L74" i="6"/>
  <c r="J74" i="6"/>
  <c r="H74" i="6"/>
  <c r="G74" i="6"/>
  <c r="D74" i="6"/>
  <c r="H73" i="6"/>
  <c r="G73" i="6"/>
  <c r="D73" i="6"/>
  <c r="L72" i="6"/>
  <c r="J72" i="6"/>
  <c r="H72" i="6"/>
  <c r="G72" i="6"/>
  <c r="D72" i="6"/>
  <c r="L71" i="6"/>
  <c r="J71" i="6"/>
  <c r="H71" i="6"/>
  <c r="G71" i="6"/>
  <c r="D71" i="6"/>
  <c r="L70" i="6"/>
  <c r="J70" i="6"/>
  <c r="H70" i="6"/>
  <c r="G70" i="6"/>
  <c r="D70" i="6"/>
  <c r="L69" i="6"/>
  <c r="J69" i="6"/>
  <c r="H69" i="6"/>
  <c r="G69" i="6"/>
  <c r="D69" i="6"/>
  <c r="L68" i="6"/>
  <c r="J68" i="6"/>
  <c r="H68" i="6"/>
  <c r="G68" i="6"/>
  <c r="D68" i="6"/>
  <c r="L67" i="6"/>
  <c r="J67" i="6"/>
  <c r="H67" i="6"/>
  <c r="G67" i="6"/>
  <c r="D67" i="6"/>
  <c r="L66" i="6"/>
  <c r="J66" i="6"/>
  <c r="H66" i="6"/>
  <c r="G66" i="6"/>
  <c r="D66" i="6"/>
  <c r="L65" i="6"/>
  <c r="J65" i="6"/>
  <c r="H65" i="6"/>
  <c r="G65" i="6"/>
  <c r="D65" i="6"/>
  <c r="L64" i="6"/>
  <c r="J64" i="6"/>
  <c r="H64" i="6"/>
  <c r="G64" i="6"/>
  <c r="D64" i="6"/>
  <c r="L63" i="6"/>
  <c r="J63" i="6"/>
  <c r="H63" i="6"/>
  <c r="G63" i="6"/>
  <c r="D63" i="6"/>
  <c r="L62" i="6"/>
  <c r="J62" i="6"/>
  <c r="H62" i="6"/>
  <c r="G62" i="6"/>
  <c r="D62" i="6"/>
  <c r="L61" i="6"/>
  <c r="J61" i="6"/>
  <c r="H61" i="6"/>
  <c r="G61" i="6"/>
  <c r="E61" i="6"/>
  <c r="D61" i="6"/>
  <c r="L60" i="6"/>
  <c r="J60" i="6"/>
  <c r="H60" i="6"/>
  <c r="G60" i="6"/>
  <c r="E60" i="6"/>
  <c r="D60" i="6"/>
  <c r="L59" i="6"/>
  <c r="J59" i="6"/>
  <c r="H59" i="6"/>
  <c r="G59" i="6"/>
  <c r="E59" i="6"/>
  <c r="D59" i="6"/>
  <c r="L58" i="6"/>
  <c r="J58" i="6"/>
  <c r="H58" i="6"/>
  <c r="G58" i="6"/>
  <c r="E58" i="6"/>
  <c r="D58" i="6"/>
  <c r="L57" i="6"/>
  <c r="J57" i="6"/>
  <c r="H57" i="6"/>
  <c r="G57" i="6"/>
  <c r="E57" i="6"/>
  <c r="D57" i="6"/>
  <c r="L56" i="6"/>
  <c r="J56" i="6"/>
  <c r="H56" i="6"/>
  <c r="G56" i="6"/>
  <c r="E56" i="6"/>
  <c r="D56" i="6"/>
  <c r="L55" i="6"/>
  <c r="J55" i="6"/>
  <c r="H55" i="6"/>
  <c r="G55" i="6"/>
  <c r="E55" i="6"/>
  <c r="D55" i="6"/>
  <c r="L54" i="6"/>
  <c r="J54" i="6"/>
  <c r="G54" i="6"/>
  <c r="E54" i="6"/>
  <c r="D54" i="6"/>
  <c r="L53" i="6"/>
  <c r="J53" i="6"/>
  <c r="H53" i="6"/>
  <c r="G53" i="6"/>
  <c r="E53" i="6"/>
  <c r="D53" i="6"/>
  <c r="L52" i="6"/>
  <c r="J52" i="6"/>
  <c r="H52" i="6"/>
  <c r="G52" i="6"/>
  <c r="E52" i="6"/>
  <c r="D52" i="6"/>
  <c r="L50" i="6"/>
  <c r="J50" i="6"/>
  <c r="H50" i="6"/>
  <c r="G50" i="6"/>
  <c r="E50" i="6"/>
  <c r="D50" i="6"/>
  <c r="L49" i="6"/>
  <c r="J49" i="6"/>
  <c r="H49" i="6"/>
  <c r="G49" i="6"/>
  <c r="E49" i="6"/>
  <c r="D49" i="6"/>
  <c r="L48" i="6"/>
  <c r="J48" i="6"/>
  <c r="H48" i="6"/>
  <c r="G48" i="6"/>
  <c r="E48" i="6"/>
  <c r="D48" i="6"/>
  <c r="L47" i="6"/>
  <c r="J47" i="6"/>
  <c r="H47" i="6"/>
  <c r="G47" i="6"/>
  <c r="E47" i="6"/>
  <c r="D47" i="6"/>
  <c r="L46" i="6"/>
  <c r="J46" i="6"/>
  <c r="H46" i="6"/>
  <c r="G46" i="6"/>
  <c r="E46" i="6"/>
  <c r="D46" i="6"/>
  <c r="L45" i="6"/>
  <c r="J45" i="6"/>
  <c r="H45" i="6"/>
  <c r="G45" i="6"/>
  <c r="E45" i="6"/>
  <c r="D45" i="6"/>
  <c r="L44" i="6"/>
  <c r="J44" i="6"/>
  <c r="H44" i="6"/>
  <c r="G44" i="6"/>
  <c r="E44" i="6"/>
  <c r="D44" i="6"/>
  <c r="L43" i="6"/>
  <c r="J43" i="6"/>
  <c r="H43" i="6"/>
  <c r="G43" i="6"/>
  <c r="E43" i="6"/>
  <c r="D43" i="6"/>
  <c r="L42" i="6"/>
  <c r="J42" i="6"/>
  <c r="L41" i="6"/>
  <c r="J41" i="6"/>
  <c r="H41" i="6"/>
  <c r="G41" i="6"/>
  <c r="E41" i="6"/>
  <c r="D41" i="6"/>
  <c r="L40" i="6"/>
  <c r="J40" i="6"/>
  <c r="H40" i="6"/>
  <c r="G40" i="6"/>
  <c r="E40" i="6"/>
  <c r="D40" i="6"/>
  <c r="L39" i="6"/>
  <c r="J39" i="6"/>
  <c r="H39" i="6"/>
  <c r="G39" i="6"/>
  <c r="E39" i="6"/>
  <c r="D39" i="6"/>
  <c r="L38" i="6"/>
  <c r="J38" i="6"/>
  <c r="H38" i="6"/>
  <c r="G38" i="6"/>
  <c r="E38" i="6"/>
  <c r="D38" i="6"/>
  <c r="L37" i="6"/>
  <c r="J37" i="6"/>
  <c r="H37" i="6"/>
  <c r="G37" i="6"/>
  <c r="E37" i="6"/>
  <c r="D37" i="6"/>
  <c r="L36" i="6"/>
  <c r="J36" i="6"/>
  <c r="H36" i="6"/>
  <c r="G36" i="6"/>
  <c r="E36" i="6"/>
  <c r="D36" i="6"/>
  <c r="L35" i="6"/>
  <c r="J35" i="6"/>
  <c r="H35" i="6"/>
  <c r="G35" i="6"/>
  <c r="E35" i="6"/>
  <c r="D35" i="6"/>
  <c r="L34" i="6"/>
  <c r="J34" i="6"/>
  <c r="H34" i="6"/>
  <c r="G34" i="6"/>
  <c r="E34" i="6"/>
  <c r="D34" i="6"/>
  <c r="L33" i="6"/>
  <c r="J33" i="6"/>
  <c r="H33" i="6"/>
  <c r="G33" i="6"/>
  <c r="E33" i="6"/>
  <c r="D33" i="6"/>
  <c r="L32" i="6"/>
  <c r="J32" i="6"/>
  <c r="H32" i="6"/>
  <c r="G32" i="6"/>
  <c r="E32" i="6"/>
  <c r="D32" i="6"/>
  <c r="L31" i="6"/>
  <c r="J31" i="6"/>
  <c r="H31" i="6"/>
  <c r="G31" i="6"/>
  <c r="E31" i="6"/>
  <c r="D31" i="6"/>
  <c r="L29" i="6"/>
  <c r="J29" i="6"/>
  <c r="H29" i="6"/>
  <c r="G29" i="6"/>
  <c r="L28" i="6"/>
  <c r="J28" i="6"/>
  <c r="H28" i="6"/>
  <c r="G28" i="6"/>
  <c r="L27" i="6"/>
  <c r="J27" i="6"/>
  <c r="H27" i="6"/>
  <c r="G27" i="6"/>
  <c r="L25" i="6"/>
  <c r="J25" i="6"/>
  <c r="H25" i="6"/>
  <c r="G25" i="6"/>
  <c r="L24" i="6"/>
  <c r="J24" i="6"/>
  <c r="H24" i="6"/>
  <c r="G24" i="6"/>
  <c r="L23" i="6"/>
  <c r="J23" i="6"/>
  <c r="H23" i="6"/>
  <c r="G23" i="6"/>
  <c r="L22" i="6"/>
  <c r="J22" i="6"/>
  <c r="H22" i="6"/>
  <c r="G22" i="6"/>
  <c r="H21" i="6"/>
  <c r="G21" i="6"/>
  <c r="L20" i="6"/>
  <c r="J20" i="6"/>
  <c r="H20" i="6"/>
  <c r="G20" i="6"/>
  <c r="L19" i="6"/>
  <c r="J19" i="6"/>
  <c r="H19" i="6"/>
  <c r="G19" i="6"/>
  <c r="L18" i="6"/>
  <c r="H18" i="6"/>
  <c r="G18" i="6"/>
  <c r="L17" i="6"/>
  <c r="J17" i="6"/>
  <c r="H17" i="6"/>
  <c r="G17" i="6"/>
  <c r="L16" i="6"/>
  <c r="J16" i="6"/>
  <c r="H16" i="6"/>
  <c r="G16" i="6"/>
  <c r="L15" i="6"/>
  <c r="J15" i="6"/>
  <c r="L14" i="6"/>
  <c r="J14" i="6"/>
  <c r="L13" i="6"/>
  <c r="J13" i="6"/>
  <c r="L11" i="6"/>
  <c r="J11" i="6"/>
  <c r="H11" i="6"/>
  <c r="G11" i="6"/>
  <c r="L10" i="6"/>
  <c r="J10" i="6"/>
  <c r="H10" i="6"/>
  <c r="G10" i="6"/>
  <c r="L9" i="6"/>
  <c r="J9" i="6"/>
  <c r="H9" i="6"/>
  <c r="G9" i="6"/>
  <c r="L8" i="6"/>
  <c r="J8" i="6"/>
  <c r="H8" i="6"/>
  <c r="G8" i="6"/>
  <c r="L7" i="6"/>
  <c r="J7" i="6"/>
  <c r="H7" i="6"/>
  <c r="G7" i="6"/>
  <c r="L6" i="6"/>
  <c r="J6" i="6"/>
  <c r="L5" i="6"/>
  <c r="J5" i="6"/>
  <c r="H5" i="6"/>
  <c r="G5" i="6"/>
  <c r="L4" i="6"/>
  <c r="J4" i="6"/>
  <c r="AT498" i="1"/>
  <c r="AS498" i="1"/>
  <c r="AQ498" i="1"/>
  <c r="AK498" i="1"/>
  <c r="AJ498" i="1"/>
  <c r="AH498" i="1"/>
  <c r="AG498" i="1"/>
  <c r="AE498" i="1"/>
  <c r="AD498" i="1"/>
  <c r="AB498" i="1"/>
  <c r="AA498" i="1"/>
  <c r="Y498" i="1"/>
  <c r="X498" i="1"/>
  <c r="V498" i="1"/>
  <c r="AU497" i="1"/>
  <c r="AU496" i="1"/>
  <c r="AU495" i="1"/>
  <c r="AU494" i="1"/>
  <c r="AO493" i="1"/>
  <c r="AU493" i="1" s="1"/>
  <c r="AU492" i="1"/>
  <c r="AO491" i="1"/>
  <c r="AU491" i="1" s="1"/>
  <c r="AO490" i="1"/>
  <c r="AU490" i="1" s="1"/>
  <c r="AU489" i="1"/>
  <c r="AU488" i="1"/>
  <c r="T487" i="1"/>
  <c r="AU486" i="1"/>
  <c r="AO485" i="1"/>
  <c r="AU484" i="1"/>
  <c r="AU483" i="1"/>
  <c r="AU482" i="1"/>
  <c r="AU481" i="1"/>
  <c r="T480" i="1"/>
  <c r="T479" i="1"/>
  <c r="AO478" i="1"/>
  <c r="AU477" i="1"/>
  <c r="AU476" i="1"/>
  <c r="AO475" i="1"/>
  <c r="AU474" i="1"/>
  <c r="AU473" i="1"/>
  <c r="T472" i="1"/>
  <c r="AU472" i="1" s="1"/>
  <c r="AU471" i="1"/>
  <c r="AU470" i="1"/>
  <c r="T469" i="1"/>
  <c r="AU469" i="1" s="1"/>
  <c r="AU467" i="1"/>
  <c r="AU466" i="1"/>
  <c r="AU465" i="1"/>
  <c r="AC464" i="1"/>
  <c r="W464" i="1"/>
  <c r="B57" i="8" s="1"/>
  <c r="AU463" i="1"/>
  <c r="AU462" i="1"/>
  <c r="AU461" i="1"/>
  <c r="AC460" i="1"/>
  <c r="AU459" i="1"/>
  <c r="AU458" i="1"/>
  <c r="AU457" i="1"/>
  <c r="AU456" i="1"/>
  <c r="AU455" i="1"/>
  <c r="AU454" i="1"/>
  <c r="AU453" i="1"/>
  <c r="AU452" i="1"/>
  <c r="AL451" i="1"/>
  <c r="AU451" i="1" s="1"/>
  <c r="AU450" i="1"/>
  <c r="AU449" i="1"/>
  <c r="AU448" i="1"/>
  <c r="AU447" i="1"/>
  <c r="AU446" i="1"/>
  <c r="AU445" i="1"/>
  <c r="AU444" i="1"/>
  <c r="AU443" i="1"/>
  <c r="AU442" i="1"/>
  <c r="AL441" i="1"/>
  <c r="AU441" i="1" s="1"/>
  <c r="AL440" i="1"/>
  <c r="AU440" i="1" s="1"/>
  <c r="AU439" i="1"/>
  <c r="AU438" i="1"/>
  <c r="AU437" i="1"/>
  <c r="AL436" i="1"/>
  <c r="AU436" i="1" s="1"/>
  <c r="AU435" i="1"/>
  <c r="AU434" i="1"/>
  <c r="AU433" i="1"/>
  <c r="AU432" i="1"/>
  <c r="AU430" i="1"/>
  <c r="AU429" i="1"/>
  <c r="AU428" i="1"/>
  <c r="AU427" i="1"/>
  <c r="AU426" i="1"/>
  <c r="AL425" i="1"/>
  <c r="AU425" i="1" s="1"/>
  <c r="AU424" i="1"/>
  <c r="AU423" i="1"/>
  <c r="AU422" i="1"/>
  <c r="AU421" i="1"/>
  <c r="AU420" i="1"/>
  <c r="AU419" i="1"/>
  <c r="AU418" i="1"/>
  <c r="Z417" i="1"/>
  <c r="AU417" i="1" s="1"/>
  <c r="Z416" i="1"/>
  <c r="AU416" i="1" s="1"/>
  <c r="AU415" i="1"/>
  <c r="AU414" i="1"/>
  <c r="AU413" i="1"/>
  <c r="AU412" i="1"/>
  <c r="AR411" i="1"/>
  <c r="AU411" i="1" s="1"/>
  <c r="AR410" i="1"/>
  <c r="AL410" i="1"/>
  <c r="Z410" i="1"/>
  <c r="Z409" i="1"/>
  <c r="AU409" i="1" s="1"/>
  <c r="Z408" i="1"/>
  <c r="AU408" i="1" s="1"/>
  <c r="Z407" i="1"/>
  <c r="AU407" i="1" s="1"/>
  <c r="AU406" i="1"/>
  <c r="AU405" i="1"/>
  <c r="AU404" i="1"/>
  <c r="AU403" i="1"/>
  <c r="AU402" i="1"/>
  <c r="AU401" i="1"/>
  <c r="AU400" i="1"/>
  <c r="AU399" i="1"/>
  <c r="AL398" i="1"/>
  <c r="W398" i="1"/>
  <c r="AC397" i="1"/>
  <c r="Z397" i="1"/>
  <c r="AU396" i="1"/>
  <c r="AR395" i="1"/>
  <c r="AC395" i="1"/>
  <c r="W395" i="1"/>
  <c r="AU394" i="1"/>
  <c r="AC393" i="1"/>
  <c r="Z392" i="1"/>
  <c r="AU392" i="1" s="1"/>
  <c r="Z391" i="1"/>
  <c r="AU391" i="1" s="1"/>
  <c r="Z390" i="1"/>
  <c r="AU390" i="1" s="1"/>
  <c r="Z389" i="1"/>
  <c r="AU389" i="1" s="1"/>
  <c r="AU388" i="1"/>
  <c r="AL387" i="1"/>
  <c r="AU387" i="1" s="1"/>
  <c r="AU386" i="1"/>
  <c r="AU385" i="1"/>
  <c r="AU384" i="1"/>
  <c r="AU383" i="1"/>
  <c r="AU382" i="1"/>
  <c r="AL381" i="1"/>
  <c r="Z381" i="1"/>
  <c r="Z380" i="1"/>
  <c r="AU380" i="1" s="1"/>
  <c r="Z379" i="1"/>
  <c r="AU379" i="1" s="1"/>
  <c r="AU378" i="1"/>
  <c r="AU377" i="1"/>
  <c r="AU376" i="1"/>
  <c r="Z375" i="1"/>
  <c r="AU375" i="1" s="1"/>
  <c r="AU374" i="1"/>
  <c r="Z373" i="1"/>
  <c r="AU373" i="1" s="1"/>
  <c r="Z372" i="1"/>
  <c r="AU372" i="1" s="1"/>
  <c r="AU371" i="1"/>
  <c r="AU370" i="1"/>
  <c r="AL369" i="1"/>
  <c r="Z369" i="1"/>
  <c r="Z368" i="1"/>
  <c r="AU368" i="1" s="1"/>
  <c r="AU367" i="1"/>
  <c r="AU366" i="1"/>
  <c r="AU365" i="1"/>
  <c r="AU364" i="1"/>
  <c r="AU363" i="1"/>
  <c r="AU362" i="1"/>
  <c r="Z361" i="1"/>
  <c r="AU361" i="1" s="1"/>
  <c r="Z360" i="1"/>
  <c r="AU360" i="1" s="1"/>
  <c r="AU359" i="1"/>
  <c r="AU358" i="1"/>
  <c r="AU357" i="1"/>
  <c r="AU356" i="1"/>
  <c r="AU355" i="1"/>
  <c r="Z354" i="1"/>
  <c r="AU354" i="1" s="1"/>
  <c r="Z353" i="1"/>
  <c r="AU353" i="1" s="1"/>
  <c r="Z352" i="1"/>
  <c r="AU352" i="1" s="1"/>
  <c r="Z351" i="1"/>
  <c r="AU351" i="1" s="1"/>
  <c r="Z350" i="1"/>
  <c r="AU350" i="1" s="1"/>
  <c r="AL349" i="1"/>
  <c r="Z349" i="1"/>
  <c r="AU348" i="1"/>
  <c r="AU347" i="1"/>
  <c r="AU346" i="1"/>
  <c r="AU345" i="1"/>
  <c r="AU344" i="1"/>
  <c r="Z343" i="1"/>
  <c r="AU343" i="1" s="1"/>
  <c r="AU342" i="1"/>
  <c r="AU341" i="1"/>
  <c r="Z340" i="1"/>
  <c r="AU340" i="1" s="1"/>
  <c r="AL339" i="1"/>
  <c r="Z339" i="1"/>
  <c r="Z338" i="1"/>
  <c r="AU338" i="1" s="1"/>
  <c r="AU337" i="1"/>
  <c r="AU336" i="1"/>
  <c r="AU335" i="1"/>
  <c r="AU334" i="1"/>
  <c r="AU333" i="1"/>
  <c r="AU332" i="1"/>
  <c r="AL331" i="1"/>
  <c r="AU331" i="1" s="1"/>
  <c r="AL330" i="1"/>
  <c r="AU330" i="1" s="1"/>
  <c r="AL329" i="1"/>
  <c r="AU329" i="1" s="1"/>
  <c r="AU328" i="1"/>
  <c r="AU327" i="1"/>
  <c r="AL326" i="1"/>
  <c r="AU326" i="1" s="1"/>
  <c r="Z325" i="1"/>
  <c r="AU325" i="1" s="1"/>
  <c r="AU324" i="1"/>
  <c r="Z323" i="1"/>
  <c r="AU323" i="1" s="1"/>
  <c r="AU322" i="1"/>
  <c r="AL321" i="1"/>
  <c r="Z321" i="1"/>
  <c r="Z320" i="1"/>
  <c r="AU320" i="1" s="1"/>
  <c r="Z319" i="1"/>
  <c r="AU319" i="1" s="1"/>
  <c r="Z318" i="1"/>
  <c r="AU318" i="1" s="1"/>
  <c r="AU317" i="1"/>
  <c r="AU316" i="1"/>
  <c r="AU315" i="1"/>
  <c r="AU314" i="1"/>
  <c r="AU313" i="1"/>
  <c r="AU312" i="1"/>
  <c r="AU311" i="1"/>
  <c r="AO310" i="1"/>
  <c r="B48" i="8" s="1"/>
  <c r="AU309" i="1"/>
  <c r="AU308" i="1"/>
  <c r="Z307" i="1"/>
  <c r="AU307" i="1" s="1"/>
  <c r="Z306" i="1"/>
  <c r="AU306" i="1" s="1"/>
  <c r="Z305" i="1"/>
  <c r="AU305" i="1" s="1"/>
  <c r="AU304" i="1"/>
  <c r="AL303" i="1"/>
  <c r="AU303" i="1" s="1"/>
  <c r="AU302" i="1"/>
  <c r="AU301" i="1"/>
  <c r="AU300" i="1"/>
  <c r="AU299" i="1"/>
  <c r="AL298" i="1"/>
  <c r="AU298" i="1" s="1"/>
  <c r="AU297" i="1"/>
  <c r="AL296" i="1"/>
  <c r="AU296" i="1" s="1"/>
  <c r="AU295" i="1"/>
  <c r="AL294" i="1"/>
  <c r="AU294" i="1" s="1"/>
  <c r="AU293" i="1"/>
  <c r="AL292" i="1"/>
  <c r="AU292" i="1" s="1"/>
  <c r="AU291" i="1"/>
  <c r="AL290" i="1"/>
  <c r="AU290" i="1" s="1"/>
  <c r="AU289" i="1"/>
  <c r="AU288" i="1"/>
  <c r="AL287" i="1"/>
  <c r="AU287" i="1" s="1"/>
  <c r="T286" i="1"/>
  <c r="AU286" i="1" s="1"/>
  <c r="AL285" i="1"/>
  <c r="AU285" i="1" s="1"/>
  <c r="AU284" i="1"/>
  <c r="AL283" i="1"/>
  <c r="AU283" i="1" s="1"/>
  <c r="AL282" i="1"/>
  <c r="AU282" i="1" s="1"/>
  <c r="AL281" i="1"/>
  <c r="AU281" i="1" s="1"/>
  <c r="AU280" i="1"/>
  <c r="AL279" i="1"/>
  <c r="AU279" i="1" s="1"/>
  <c r="AU278" i="1"/>
  <c r="AL277" i="1"/>
  <c r="AU277" i="1" s="1"/>
  <c r="AL276" i="1"/>
  <c r="AU276" i="1" s="1"/>
  <c r="AO275" i="1"/>
  <c r="AL275" i="1"/>
  <c r="AU274" i="1"/>
  <c r="AU273" i="1"/>
  <c r="AU272" i="1"/>
  <c r="AL271" i="1"/>
  <c r="AU271" i="1" s="1"/>
  <c r="AU270" i="1"/>
  <c r="AL269" i="1"/>
  <c r="AU269" i="1" s="1"/>
  <c r="AO268" i="1"/>
  <c r="AL268" i="1"/>
  <c r="AU267" i="1"/>
  <c r="AU266" i="1"/>
  <c r="AL265" i="1"/>
  <c r="AU265" i="1" s="1"/>
  <c r="AU264" i="1"/>
  <c r="AU263" i="1"/>
  <c r="AU262" i="1"/>
  <c r="AU261" i="1"/>
  <c r="AU260" i="1"/>
  <c r="AU259" i="1"/>
  <c r="AL258" i="1"/>
  <c r="AU258" i="1" s="1"/>
  <c r="AL257" i="1"/>
  <c r="AU257" i="1" s="1"/>
  <c r="AL256" i="1"/>
  <c r="AU256" i="1" s="1"/>
  <c r="AL255" i="1"/>
  <c r="AU255" i="1" s="1"/>
  <c r="AU254" i="1"/>
  <c r="AU253" i="1"/>
  <c r="AL252" i="1"/>
  <c r="AU252" i="1" s="1"/>
  <c r="AL251" i="1"/>
  <c r="AU251" i="1" s="1"/>
  <c r="AU250" i="1"/>
  <c r="AU249" i="1"/>
  <c r="AL248" i="1"/>
  <c r="AU248" i="1" s="1"/>
  <c r="AF247" i="1"/>
  <c r="AU247" i="1" s="1"/>
  <c r="I145" i="6"/>
  <c r="AL245" i="1"/>
  <c r="W245" i="1"/>
  <c r="AL244" i="1"/>
  <c r="AU244" i="1" s="1"/>
  <c r="AL243" i="1"/>
  <c r="AU243" i="1" s="1"/>
  <c r="AU242" i="1"/>
  <c r="AU241" i="1"/>
  <c r="AL240" i="1"/>
  <c r="AU240" i="1" s="1"/>
  <c r="AU239" i="1"/>
  <c r="AL238" i="1"/>
  <c r="AU238" i="1" s="1"/>
  <c r="AU237" i="1"/>
  <c r="AU236" i="1"/>
  <c r="AU235" i="1"/>
  <c r="AL234" i="1"/>
  <c r="AU234" i="1" s="1"/>
  <c r="AL233" i="1"/>
  <c r="AU233" i="1" s="1"/>
  <c r="AL232" i="1"/>
  <c r="AU232" i="1" s="1"/>
  <c r="AU231" i="1"/>
  <c r="AU230" i="1"/>
  <c r="AU229" i="1"/>
  <c r="AU228" i="1"/>
  <c r="AU227" i="1"/>
  <c r="AU226" i="1"/>
  <c r="AL225" i="1"/>
  <c r="AU225" i="1" s="1"/>
  <c r="AL224" i="1"/>
  <c r="AU224" i="1" s="1"/>
  <c r="AR223" i="1"/>
  <c r="B37" i="8" s="1"/>
  <c r="AL223" i="1"/>
  <c r="AF222" i="1"/>
  <c r="AU221" i="1"/>
  <c r="AO220" i="1"/>
  <c r="B32" i="8" s="1"/>
  <c r="AL220" i="1"/>
  <c r="AU219" i="1"/>
  <c r="AL218" i="1"/>
  <c r="AU218" i="1" s="1"/>
  <c r="AU217" i="1"/>
  <c r="AL216" i="1"/>
  <c r="AU216" i="1" s="1"/>
  <c r="AU215" i="1"/>
  <c r="AU214" i="1"/>
  <c r="AU213" i="1"/>
  <c r="AU212" i="1"/>
  <c r="AU211" i="1"/>
  <c r="AU210" i="1"/>
  <c r="AU209" i="1"/>
  <c r="AU208" i="1"/>
  <c r="AU207" i="1"/>
  <c r="AU206" i="1"/>
  <c r="AU205" i="1"/>
  <c r="AU204" i="1"/>
  <c r="AL203" i="1"/>
  <c r="AU203" i="1" s="1"/>
  <c r="AL202" i="1"/>
  <c r="AU202" i="1" s="1"/>
  <c r="AU201" i="1"/>
  <c r="P201" i="1"/>
  <c r="AU200" i="1"/>
  <c r="AU199" i="1"/>
  <c r="AL198" i="1"/>
  <c r="AU198" i="1" s="1"/>
  <c r="AU197" i="1"/>
  <c r="AL196" i="1"/>
  <c r="AU196" i="1" s="1"/>
  <c r="AL195" i="1"/>
  <c r="AU195" i="1" s="1"/>
  <c r="AL194" i="1"/>
  <c r="AU194" i="1" s="1"/>
  <c r="AU193" i="1"/>
  <c r="AU192" i="1"/>
  <c r="AU191" i="1"/>
  <c r="AU190" i="1"/>
  <c r="AU189" i="1"/>
  <c r="AL188" i="1"/>
  <c r="AU188" i="1" s="1"/>
  <c r="AL187" i="1"/>
  <c r="AU187" i="1" s="1"/>
  <c r="AU186" i="1"/>
  <c r="AU185" i="1"/>
  <c r="AL184" i="1"/>
  <c r="AU184" i="1" s="1"/>
  <c r="AL183" i="1"/>
  <c r="AU183" i="1" s="1"/>
  <c r="AU182" i="1"/>
  <c r="AU181" i="1"/>
  <c r="AL180" i="1"/>
  <c r="AU180" i="1" s="1"/>
  <c r="AL179" i="1"/>
  <c r="AU179" i="1" s="1"/>
  <c r="AU178" i="1"/>
  <c r="AU177" i="1"/>
  <c r="AU176" i="1"/>
  <c r="AU175" i="1"/>
  <c r="AL174" i="1"/>
  <c r="AU174" i="1" s="1"/>
  <c r="AL173" i="1"/>
  <c r="AU173" i="1" s="1"/>
  <c r="AU172" i="1"/>
  <c r="AL171" i="1"/>
  <c r="AU171" i="1" s="1"/>
  <c r="AU170" i="1"/>
  <c r="AL169" i="1"/>
  <c r="AU169" i="1" s="1"/>
  <c r="AO168" i="1"/>
  <c r="B29" i="8" s="1"/>
  <c r="AL168" i="1"/>
  <c r="AU167" i="1"/>
  <c r="AL166" i="1"/>
  <c r="AU166" i="1" s="1"/>
  <c r="AU165" i="1"/>
  <c r="AU164" i="1"/>
  <c r="AU163" i="1"/>
  <c r="AL162" i="1"/>
  <c r="AU162" i="1" s="1"/>
  <c r="AL161" i="1"/>
  <c r="AU161" i="1" s="1"/>
  <c r="AU160" i="1"/>
  <c r="AU159" i="1"/>
  <c r="AL158" i="1"/>
  <c r="AU158" i="1" s="1"/>
  <c r="AL157" i="1"/>
  <c r="AU157" i="1" s="1"/>
  <c r="AU156" i="1"/>
  <c r="AU155" i="1"/>
  <c r="AU154" i="1"/>
  <c r="AL153" i="1"/>
  <c r="AU153" i="1" s="1"/>
  <c r="AL152" i="1"/>
  <c r="AU152" i="1" s="1"/>
  <c r="AL151" i="1"/>
  <c r="AU151" i="1" s="1"/>
  <c r="AU150" i="1"/>
  <c r="AU149" i="1"/>
  <c r="AU148" i="1"/>
  <c r="AU147" i="1"/>
  <c r="AU146" i="1"/>
  <c r="AL145" i="1"/>
  <c r="AU145" i="1" s="1"/>
  <c r="AL144" i="1"/>
  <c r="AU144" i="1" s="1"/>
  <c r="AO142" i="1"/>
  <c r="AO141" i="1"/>
  <c r="AL141" i="1"/>
  <c r="AU140" i="1"/>
  <c r="AU139" i="1"/>
  <c r="AU138" i="1"/>
  <c r="AO137" i="1"/>
  <c r="AL137" i="1"/>
  <c r="AU136" i="1"/>
  <c r="AL135" i="1"/>
  <c r="AU135" i="1" s="1"/>
  <c r="AU134" i="1"/>
  <c r="AU133" i="1"/>
  <c r="AL132" i="1"/>
  <c r="AU131" i="1"/>
  <c r="AU130" i="1"/>
  <c r="AO129" i="1"/>
  <c r="AU129" i="1" s="1"/>
  <c r="AU128" i="1"/>
  <c r="AO127" i="1"/>
  <c r="AL127" i="1"/>
  <c r="AL126" i="1"/>
  <c r="AU126" i="1" s="1"/>
  <c r="AU125" i="1"/>
  <c r="AU124" i="1"/>
  <c r="AU123" i="1"/>
  <c r="AU122" i="1"/>
  <c r="AU121" i="1"/>
  <c r="AU120" i="1"/>
  <c r="AL119" i="1"/>
  <c r="AU119" i="1" s="1"/>
  <c r="T118" i="1"/>
  <c r="AU118" i="1" s="1"/>
  <c r="AU117" i="1"/>
  <c r="AU116" i="1"/>
  <c r="AU115" i="1"/>
  <c r="AU114" i="1"/>
  <c r="AO113" i="1"/>
  <c r="AL113" i="1"/>
  <c r="T113" i="1"/>
  <c r="AU112" i="1"/>
  <c r="AU111" i="1"/>
  <c r="T110" i="1"/>
  <c r="AU110" i="1" s="1"/>
  <c r="AU109" i="1"/>
  <c r="AL108" i="1"/>
  <c r="T108" i="1"/>
  <c r="AL107" i="1"/>
  <c r="T107" i="1"/>
  <c r="AO106" i="1"/>
  <c r="AL106" i="1"/>
  <c r="AU105" i="1"/>
  <c r="AU104" i="1"/>
  <c r="AL103" i="1"/>
  <c r="AU103" i="1" s="1"/>
  <c r="AU102" i="1"/>
  <c r="AL101" i="1"/>
  <c r="AU101" i="1" s="1"/>
  <c r="AL100" i="1"/>
  <c r="AU100" i="1" s="1"/>
  <c r="AL99" i="1"/>
  <c r="AU99" i="1" s="1"/>
  <c r="AL98" i="1"/>
  <c r="AU98" i="1" s="1"/>
  <c r="AU97" i="1"/>
  <c r="AL96" i="1"/>
  <c r="AU96" i="1" s="1"/>
  <c r="AU95" i="1"/>
  <c r="AL94" i="1"/>
  <c r="AU94" i="1" s="1"/>
  <c r="AU93" i="1"/>
  <c r="AU92" i="1"/>
  <c r="AL91" i="1"/>
  <c r="AU91" i="1" s="1"/>
  <c r="AL90" i="1"/>
  <c r="AU90" i="1" s="1"/>
  <c r="AL89" i="1"/>
  <c r="AU89" i="1" s="1"/>
  <c r="AL88" i="1"/>
  <c r="AU88" i="1" s="1"/>
  <c r="AU87" i="1"/>
  <c r="AL86" i="1"/>
  <c r="AU86" i="1" s="1"/>
  <c r="AU85" i="1"/>
  <c r="AO84" i="1"/>
  <c r="AU84" i="1" s="1"/>
  <c r="AU83" i="1"/>
  <c r="AL82" i="1"/>
  <c r="AU82" i="1" s="1"/>
  <c r="AL81" i="1"/>
  <c r="AU81" i="1" s="1"/>
  <c r="AU80" i="1"/>
  <c r="AU79" i="1"/>
  <c r="AU78" i="1"/>
  <c r="AU77" i="1"/>
  <c r="AL76" i="1"/>
  <c r="AU76" i="1" s="1"/>
  <c r="AL75" i="1"/>
  <c r="AU75" i="1" s="1"/>
  <c r="AL74" i="1"/>
  <c r="AU74" i="1" s="1"/>
  <c r="AL73" i="1"/>
  <c r="AU73" i="1" s="1"/>
  <c r="AU72" i="1"/>
  <c r="AL71" i="1"/>
  <c r="AU71" i="1" s="1"/>
  <c r="AU70" i="1"/>
  <c r="AL69" i="1"/>
  <c r="AU69" i="1" s="1"/>
  <c r="AU68" i="1"/>
  <c r="AL67" i="1"/>
  <c r="AU67" i="1" s="1"/>
  <c r="AL66" i="1"/>
  <c r="AU66" i="1" s="1"/>
  <c r="AO65" i="1"/>
  <c r="AL65" i="1"/>
  <c r="AU64" i="1"/>
  <c r="AU63" i="1"/>
  <c r="AU62" i="1"/>
  <c r="AU61" i="1"/>
  <c r="AU60" i="1"/>
  <c r="AL59" i="1"/>
  <c r="AU59" i="1" s="1"/>
  <c r="AL58" i="1"/>
  <c r="AU58" i="1" s="1"/>
  <c r="AU57" i="1"/>
  <c r="P57" i="1"/>
  <c r="AU56" i="1"/>
  <c r="AI55" i="1"/>
  <c r="AU55" i="1" s="1"/>
  <c r="P55" i="1"/>
  <c r="AU54" i="1"/>
  <c r="AI53" i="1"/>
  <c r="AI498" i="1" s="1"/>
  <c r="T53" i="1"/>
  <c r="AU52" i="1"/>
  <c r="AU51" i="1"/>
  <c r="AO50" i="1"/>
  <c r="AU50" i="1" s="1"/>
  <c r="AR49" i="1"/>
  <c r="AO49" i="1"/>
  <c r="P49" i="1"/>
  <c r="AR48" i="1"/>
  <c r="AO48" i="1"/>
  <c r="AL48" i="1"/>
  <c r="AU47" i="1"/>
  <c r="AU46" i="1"/>
  <c r="P46" i="1"/>
  <c r="AL45" i="1"/>
  <c r="T45" i="1"/>
  <c r="AL44" i="1"/>
  <c r="AU44" i="1" s="1"/>
  <c r="AL43" i="1"/>
  <c r="AU43" i="1" s="1"/>
  <c r="AU42" i="1"/>
  <c r="AU41" i="1"/>
  <c r="AL40" i="1"/>
  <c r="T40" i="1"/>
  <c r="AL39" i="1"/>
  <c r="AU39" i="1" s="1"/>
  <c r="AU38" i="1"/>
  <c r="AU37" i="1"/>
  <c r="AL36" i="1"/>
  <c r="AU36" i="1" s="1"/>
  <c r="AR35" i="1"/>
  <c r="B9" i="8" s="1"/>
  <c r="AO35" i="1"/>
  <c r="B10" i="8" s="1"/>
  <c r="AL35" i="1"/>
  <c r="AL34" i="1"/>
  <c r="AU34" i="1" s="1"/>
  <c r="AU33" i="1"/>
  <c r="AU32" i="1"/>
  <c r="AU31" i="1"/>
  <c r="AN30" i="1"/>
  <c r="AW30" i="1" s="1"/>
  <c r="AM30" i="1"/>
  <c r="AV30" i="1" s="1"/>
  <c r="AL30" i="1"/>
  <c r="AU30" i="1" s="1"/>
  <c r="AN29" i="1"/>
  <c r="AW29" i="1" s="1"/>
  <c r="AM29" i="1"/>
  <c r="AV29" i="1" s="1"/>
  <c r="AL29" i="1"/>
  <c r="AU29" i="1" s="1"/>
  <c r="AN28" i="1"/>
  <c r="AW28" i="1" s="1"/>
  <c r="AM28" i="1"/>
  <c r="AV28" i="1" s="1"/>
  <c r="AL28" i="1"/>
  <c r="AU28" i="1" s="1"/>
  <c r="AN27" i="1"/>
  <c r="AW27" i="1" s="1"/>
  <c r="AM27" i="1"/>
  <c r="AV27" i="1" s="1"/>
  <c r="AL27" i="1"/>
  <c r="AU27" i="1" s="1"/>
  <c r="AU26" i="1"/>
  <c r="AU25" i="1"/>
  <c r="AL24" i="1"/>
  <c r="AU24" i="1" s="1"/>
  <c r="AU23" i="1"/>
  <c r="AU22" i="1"/>
  <c r="AL21" i="1"/>
  <c r="AU21" i="1" s="1"/>
  <c r="AU20" i="1"/>
  <c r="AU19" i="1"/>
  <c r="AL18" i="1"/>
  <c r="AU18" i="1" s="1"/>
  <c r="AU17" i="1"/>
  <c r="AL16" i="1"/>
  <c r="AU16" i="1" s="1"/>
  <c r="AU15" i="1"/>
  <c r="AL14" i="1"/>
  <c r="AU14" i="1" s="1"/>
  <c r="AU13" i="1"/>
  <c r="AL12" i="1"/>
  <c r="AU12" i="1" s="1"/>
  <c r="AU11" i="1"/>
  <c r="AL10" i="1"/>
  <c r="AU10" i="1" s="1"/>
  <c r="AL9" i="1"/>
  <c r="AU9" i="1" s="1"/>
  <c r="AL8" i="1"/>
  <c r="M145" i="6" l="1"/>
  <c r="K145" i="6"/>
  <c r="F42" i="15"/>
  <c r="D42" i="15"/>
  <c r="F10" i="8"/>
  <c r="D48" i="8"/>
  <c r="D57" i="8"/>
  <c r="F48" i="8"/>
  <c r="E50" i="8"/>
  <c r="F57" i="8"/>
  <c r="F9" i="8"/>
  <c r="F59" i="8"/>
  <c r="F29" i="8"/>
  <c r="F32" i="8"/>
  <c r="F37" i="8"/>
  <c r="D9" i="8"/>
  <c r="D59" i="8"/>
  <c r="D29" i="8"/>
  <c r="D32" i="8"/>
  <c r="D37" i="8"/>
  <c r="C50" i="8"/>
  <c r="D10" i="8"/>
  <c r="C55" i="8"/>
  <c r="D58" i="15"/>
  <c r="J73" i="6"/>
  <c r="AW99" i="1"/>
  <c r="AW100" i="1"/>
  <c r="W498" i="1"/>
  <c r="E33" i="8"/>
  <c r="C33" i="8"/>
  <c r="J18" i="6"/>
  <c r="C14" i="15"/>
  <c r="C11" i="15"/>
  <c r="C34" i="15"/>
  <c r="C31" i="15"/>
  <c r="C10" i="15"/>
  <c r="T498" i="1"/>
  <c r="F40" i="15"/>
  <c r="C46" i="15"/>
  <c r="C43" i="15"/>
  <c r="G43" i="15" s="1"/>
  <c r="F38" i="15"/>
  <c r="F48" i="15"/>
  <c r="D40" i="15"/>
  <c r="D38" i="15"/>
  <c r="D48" i="15"/>
  <c r="F60" i="15"/>
  <c r="C57" i="15"/>
  <c r="E57" i="15" s="1"/>
  <c r="C59" i="15"/>
  <c r="G59" i="15" s="1"/>
  <c r="C55" i="15"/>
  <c r="C52" i="15"/>
  <c r="C50" i="15"/>
  <c r="C49" i="15"/>
  <c r="E49" i="15" s="1"/>
  <c r="C32" i="15"/>
  <c r="E32" i="15" s="1"/>
  <c r="F35" i="15"/>
  <c r="D35" i="15"/>
  <c r="C41" i="15"/>
  <c r="G41" i="15" s="1"/>
  <c r="C33" i="15"/>
  <c r="F28" i="15"/>
  <c r="C29" i="15"/>
  <c r="C30" i="15"/>
  <c r="C27" i="15"/>
  <c r="C23" i="15"/>
  <c r="C24" i="15"/>
  <c r="F19" i="15"/>
  <c r="D19" i="15"/>
  <c r="C21" i="15"/>
  <c r="G21" i="15" s="1"/>
  <c r="C12" i="15"/>
  <c r="C13" i="15"/>
  <c r="C8" i="15"/>
  <c r="C6" i="15"/>
  <c r="G6" i="15" s="1"/>
  <c r="F3" i="15"/>
  <c r="D3" i="15"/>
  <c r="C5" i="15"/>
  <c r="E5" i="15" s="1"/>
  <c r="I10" i="6"/>
  <c r="M10" i="6" s="1"/>
  <c r="I19" i="6"/>
  <c r="M19" i="6" s="1"/>
  <c r="I23" i="6"/>
  <c r="M23" i="6" s="1"/>
  <c r="I40" i="6"/>
  <c r="K40" i="6" s="1"/>
  <c r="I46" i="6"/>
  <c r="K46" i="6" s="1"/>
  <c r="I50" i="6"/>
  <c r="M50" i="6" s="1"/>
  <c r="I54" i="6"/>
  <c r="K54" i="6" s="1"/>
  <c r="I58" i="6"/>
  <c r="M58" i="6" s="1"/>
  <c r="I63" i="6"/>
  <c r="M63" i="6" s="1"/>
  <c r="I67" i="6"/>
  <c r="M67" i="6" s="1"/>
  <c r="I110" i="6"/>
  <c r="K110" i="6" s="1"/>
  <c r="I122" i="6"/>
  <c r="M122" i="6" s="1"/>
  <c r="I137" i="6"/>
  <c r="K137" i="6" s="1"/>
  <c r="I134" i="6"/>
  <c r="K134" i="6" s="1"/>
  <c r="I146" i="6"/>
  <c r="K146" i="6" s="1"/>
  <c r="I153" i="6"/>
  <c r="M153" i="6" s="1"/>
  <c r="I163" i="6"/>
  <c r="K163" i="6" s="1"/>
  <c r="I171" i="6"/>
  <c r="M171" i="6" s="1"/>
  <c r="I180" i="6"/>
  <c r="M180" i="6" s="1"/>
  <c r="I184" i="6"/>
  <c r="M184" i="6" s="1"/>
  <c r="I188" i="6"/>
  <c r="M188" i="6" s="1"/>
  <c r="I217" i="6"/>
  <c r="K217" i="6" s="1"/>
  <c r="I229" i="6"/>
  <c r="M229" i="6" s="1"/>
  <c r="I251" i="6"/>
  <c r="M251" i="6" s="1"/>
  <c r="I13" i="6"/>
  <c r="M13" i="6" s="1"/>
  <c r="I7" i="6"/>
  <c r="M7" i="6" s="1"/>
  <c r="I11" i="6"/>
  <c r="K11" i="6" s="1"/>
  <c r="I14" i="6"/>
  <c r="K14" i="6" s="1"/>
  <c r="I17" i="6"/>
  <c r="K17" i="6" s="1"/>
  <c r="I24" i="6"/>
  <c r="K24" i="6" s="1"/>
  <c r="I31" i="6"/>
  <c r="K31" i="6" s="1"/>
  <c r="I41" i="6"/>
  <c r="K41" i="6" s="1"/>
  <c r="I47" i="6"/>
  <c r="K47" i="6" s="1"/>
  <c r="I55" i="6"/>
  <c r="M55" i="6" s="1"/>
  <c r="I59" i="6"/>
  <c r="M59" i="6" s="1"/>
  <c r="I64" i="6"/>
  <c r="K64" i="6" s="1"/>
  <c r="I68" i="6"/>
  <c r="K68" i="6" s="1"/>
  <c r="I71" i="6"/>
  <c r="M71" i="6" s="1"/>
  <c r="I87" i="6"/>
  <c r="K87" i="6" s="1"/>
  <c r="I96" i="6"/>
  <c r="M96" i="6" s="1"/>
  <c r="I111" i="6"/>
  <c r="K111" i="6" s="1"/>
  <c r="I123" i="6"/>
  <c r="M123" i="6" s="1"/>
  <c r="I131" i="6"/>
  <c r="K131" i="6" s="1"/>
  <c r="I138" i="6"/>
  <c r="K138" i="6" s="1"/>
  <c r="I142" i="6"/>
  <c r="M142" i="6" s="1"/>
  <c r="I147" i="6"/>
  <c r="M147" i="6" s="1"/>
  <c r="I154" i="6"/>
  <c r="K154" i="6" s="1"/>
  <c r="I164" i="6"/>
  <c r="M164" i="6" s="1"/>
  <c r="I168" i="6"/>
  <c r="K168" i="6" s="1"/>
  <c r="I172" i="6"/>
  <c r="K172" i="6" s="1"/>
  <c r="I177" i="6"/>
  <c r="K177" i="6" s="1"/>
  <c r="I181" i="6"/>
  <c r="M181" i="6" s="1"/>
  <c r="I185" i="6"/>
  <c r="K185" i="6" s="1"/>
  <c r="I199" i="6"/>
  <c r="K199" i="6" s="1"/>
  <c r="I218" i="6"/>
  <c r="K218" i="6" s="1"/>
  <c r="I230" i="6"/>
  <c r="M230" i="6" s="1"/>
  <c r="I238" i="6"/>
  <c r="I249" i="6"/>
  <c r="M249" i="6" s="1"/>
  <c r="I8" i="6"/>
  <c r="K8" i="6" s="1"/>
  <c r="I4" i="6"/>
  <c r="M4" i="6" s="1"/>
  <c r="I15" i="6"/>
  <c r="K15" i="6" s="1"/>
  <c r="I25" i="6"/>
  <c r="K25" i="6" s="1"/>
  <c r="I28" i="6"/>
  <c r="K28" i="6" s="1"/>
  <c r="I34" i="6"/>
  <c r="M34" i="6" s="1"/>
  <c r="I44" i="6"/>
  <c r="K44" i="6" s="1"/>
  <c r="I48" i="6"/>
  <c r="K48" i="6" s="1"/>
  <c r="I56" i="6"/>
  <c r="M56" i="6" s="1"/>
  <c r="I65" i="6"/>
  <c r="M65" i="6" s="1"/>
  <c r="I72" i="6"/>
  <c r="M72" i="6" s="1"/>
  <c r="I75" i="6"/>
  <c r="K75" i="6" s="1"/>
  <c r="I97" i="6"/>
  <c r="K97" i="6" s="1"/>
  <c r="I105" i="6"/>
  <c r="K105" i="6" s="1"/>
  <c r="I108" i="6"/>
  <c r="M108" i="6" s="1"/>
  <c r="I124" i="6"/>
  <c r="K124" i="6" s="1"/>
  <c r="I135" i="6"/>
  <c r="M135" i="6" s="1"/>
  <c r="I148" i="6"/>
  <c r="K148" i="6" s="1"/>
  <c r="I155" i="6"/>
  <c r="K155" i="6" s="1"/>
  <c r="I159" i="6"/>
  <c r="K159" i="6" s="1"/>
  <c r="I169" i="6"/>
  <c r="M169" i="6" s="1"/>
  <c r="I173" i="6"/>
  <c r="M173" i="6" s="1"/>
  <c r="I178" i="6"/>
  <c r="M178" i="6" s="1"/>
  <c r="I182" i="6"/>
  <c r="K182" i="6" s="1"/>
  <c r="I186" i="6"/>
  <c r="M186" i="6" s="1"/>
  <c r="I189" i="6"/>
  <c r="K189" i="6" s="1"/>
  <c r="I198" i="6"/>
  <c r="K198" i="6" s="1"/>
  <c r="I224" i="6"/>
  <c r="M224" i="6" s="1"/>
  <c r="I226" i="6"/>
  <c r="K226" i="6" s="1"/>
  <c r="I236" i="6"/>
  <c r="I246" i="6"/>
  <c r="M246" i="6" s="1"/>
  <c r="I258" i="6"/>
  <c r="M258" i="6" s="1"/>
  <c r="I9" i="6"/>
  <c r="K9" i="6" s="1"/>
  <c r="I5" i="6"/>
  <c r="M5" i="6" s="1"/>
  <c r="I22" i="6"/>
  <c r="M22" i="6" s="1"/>
  <c r="I35" i="6"/>
  <c r="M35" i="6" s="1"/>
  <c r="I45" i="6"/>
  <c r="K45" i="6" s="1"/>
  <c r="I49" i="6"/>
  <c r="M49" i="6" s="1"/>
  <c r="I53" i="6"/>
  <c r="K53" i="6" s="1"/>
  <c r="I57" i="6"/>
  <c r="M57" i="6" s="1"/>
  <c r="I62" i="6"/>
  <c r="K62" i="6" s="1"/>
  <c r="I66" i="6"/>
  <c r="K66" i="6" s="1"/>
  <c r="I106" i="6"/>
  <c r="K106" i="6" s="1"/>
  <c r="I109" i="6"/>
  <c r="K109" i="6" s="1"/>
  <c r="I114" i="6"/>
  <c r="M114" i="6" s="1"/>
  <c r="I121" i="6"/>
  <c r="K121" i="6" s="1"/>
  <c r="I129" i="6"/>
  <c r="K129" i="6" s="1"/>
  <c r="I136" i="6"/>
  <c r="M136" i="6" s="1"/>
  <c r="I149" i="6"/>
  <c r="M149" i="6" s="1"/>
  <c r="I156" i="6"/>
  <c r="K156" i="6" s="1"/>
  <c r="I162" i="6"/>
  <c r="K162" i="6" s="1"/>
  <c r="I170" i="6"/>
  <c r="K170" i="6" s="1"/>
  <c r="I174" i="6"/>
  <c r="K174" i="6" s="1"/>
  <c r="I179" i="6"/>
  <c r="K179" i="6" s="1"/>
  <c r="I183" i="6"/>
  <c r="K183" i="6" s="1"/>
  <c r="I187" i="6"/>
  <c r="M187" i="6" s="1"/>
  <c r="I216" i="6"/>
  <c r="M216" i="6" s="1"/>
  <c r="I227" i="6"/>
  <c r="M227" i="6" s="1"/>
  <c r="AU480" i="1"/>
  <c r="U480" i="1"/>
  <c r="AV480" i="1" s="1"/>
  <c r="AC498" i="1"/>
  <c r="AM498" i="1"/>
  <c r="AU485" i="1"/>
  <c r="AP485" i="1"/>
  <c r="AV485" i="1" s="1"/>
  <c r="AR498" i="1"/>
  <c r="AU478" i="1"/>
  <c r="AP478" i="1"/>
  <c r="AV478" i="1" s="1"/>
  <c r="AO498" i="1"/>
  <c r="AU475" i="1"/>
  <c r="AP475" i="1"/>
  <c r="AU479" i="1"/>
  <c r="U479" i="1"/>
  <c r="AU487" i="1"/>
  <c r="U487" i="1"/>
  <c r="AV487" i="1" s="1"/>
  <c r="C3" i="8"/>
  <c r="E3" i="8"/>
  <c r="C63" i="8"/>
  <c r="E63" i="8"/>
  <c r="B34" i="8"/>
  <c r="AU245" i="1"/>
  <c r="AU132" i="1"/>
  <c r="I85" i="6"/>
  <c r="G5" i="7"/>
  <c r="G3" i="7"/>
  <c r="G4" i="7"/>
  <c r="E3" i="7"/>
  <c r="E4" i="7"/>
  <c r="I242" i="6"/>
  <c r="I241" i="6"/>
  <c r="I240" i="6"/>
  <c r="I239" i="6"/>
  <c r="I237" i="6"/>
  <c r="I235" i="6"/>
  <c r="I88" i="6"/>
  <c r="K88" i="6" s="1"/>
  <c r="L26" i="6"/>
  <c r="I193" i="6"/>
  <c r="J191" i="6"/>
  <c r="L191" i="6"/>
  <c r="I120" i="6"/>
  <c r="L76" i="6"/>
  <c r="J76" i="6"/>
  <c r="B13" i="8"/>
  <c r="B46" i="8"/>
  <c r="D46" i="8" s="1"/>
  <c r="AU107" i="1"/>
  <c r="AU113" i="1"/>
  <c r="AU310" i="1"/>
  <c r="AU65" i="1"/>
  <c r="AU393" i="1"/>
  <c r="B23" i="8"/>
  <c r="D23" i="8" s="1"/>
  <c r="B8" i="8"/>
  <c r="B7" i="8" s="1"/>
  <c r="B5" i="14" s="1"/>
  <c r="B7" i="17" s="1"/>
  <c r="B47" i="8"/>
  <c r="D47" i="8" s="1"/>
  <c r="AU223" i="1"/>
  <c r="B42" i="8"/>
  <c r="F42" i="8" s="1"/>
  <c r="AU275" i="1"/>
  <c r="AU381" i="1"/>
  <c r="B35" i="8"/>
  <c r="D35" i="8" s="1"/>
  <c r="AU40" i="1"/>
  <c r="B16" i="8"/>
  <c r="F16" i="8" s="1"/>
  <c r="AU108" i="1"/>
  <c r="AU137" i="1"/>
  <c r="I209" i="6"/>
  <c r="M209" i="6" s="1"/>
  <c r="AU410" i="1"/>
  <c r="B58" i="8"/>
  <c r="AU464" i="1"/>
  <c r="AU53" i="1"/>
  <c r="AU141" i="1"/>
  <c r="AU369" i="1"/>
  <c r="B49" i="8"/>
  <c r="F49" i="8" s="1"/>
  <c r="AU398" i="1"/>
  <c r="B14" i="8"/>
  <c r="AU45" i="1"/>
  <c r="B22" i="8"/>
  <c r="B25" i="8"/>
  <c r="F25" i="8" s="1"/>
  <c r="B26" i="8"/>
  <c r="F26" i="8" s="1"/>
  <c r="AU142" i="1"/>
  <c r="AU220" i="1"/>
  <c r="B45" i="8"/>
  <c r="Z498" i="1"/>
  <c r="AU339" i="1"/>
  <c r="B64" i="8"/>
  <c r="B63" i="8" s="1"/>
  <c r="B19" i="14" s="1"/>
  <c r="B26" i="17" s="1"/>
  <c r="AU48" i="1"/>
  <c r="B18" i="8"/>
  <c r="AL498" i="1"/>
  <c r="B36" i="8"/>
  <c r="B51" i="8"/>
  <c r="B50" i="8" s="1"/>
  <c r="AN498" i="1"/>
  <c r="J21" i="6"/>
  <c r="B44" i="8"/>
  <c r="B4" i="8"/>
  <c r="B3" i="8" s="1"/>
  <c r="B3" i="14" s="1"/>
  <c r="B5" i="17" s="1"/>
  <c r="L21" i="6"/>
  <c r="B12" i="8"/>
  <c r="B15" i="8"/>
  <c r="AU49" i="1"/>
  <c r="B19" i="8"/>
  <c r="D19" i="8" s="1"/>
  <c r="AU106" i="1"/>
  <c r="AU127" i="1"/>
  <c r="AU321" i="1"/>
  <c r="AU349" i="1"/>
  <c r="AU397" i="1"/>
  <c r="I233" i="6"/>
  <c r="K233" i="6" s="1"/>
  <c r="B56" i="8"/>
  <c r="F56" i="8" s="1"/>
  <c r="B6" i="8"/>
  <c r="B5" i="8" s="1"/>
  <c r="B4" i="14" s="1"/>
  <c r="B6" i="17" s="1"/>
  <c r="B28" i="8"/>
  <c r="B27" i="8" s="1"/>
  <c r="B10" i="14" s="1"/>
  <c r="B12" i="17" s="1"/>
  <c r="B40" i="8"/>
  <c r="F40" i="8" s="1"/>
  <c r="AU8" i="1"/>
  <c r="AU168" i="1"/>
  <c r="AU222" i="1"/>
  <c r="B41" i="8"/>
  <c r="AU268" i="1"/>
  <c r="AU395" i="1"/>
  <c r="AF498" i="1"/>
  <c r="C6" i="8"/>
  <c r="B21" i="8"/>
  <c r="B62" i="8"/>
  <c r="E6" i="8"/>
  <c r="B31" i="8"/>
  <c r="B30" i="8" s="1"/>
  <c r="B11" i="14" s="1"/>
  <c r="B13" i="17" s="1"/>
  <c r="B61" i="8"/>
  <c r="F61" i="8" s="1"/>
  <c r="AU35" i="1"/>
  <c r="AU460" i="1"/>
  <c r="C30" i="8"/>
  <c r="L261" i="6"/>
  <c r="I213" i="6"/>
  <c r="M213" i="6" s="1"/>
  <c r="I60" i="6"/>
  <c r="M60" i="6" s="1"/>
  <c r="I33" i="6"/>
  <c r="M33" i="6" s="1"/>
  <c r="I157" i="6"/>
  <c r="K157" i="6" s="1"/>
  <c r="I160" i="6"/>
  <c r="K160" i="6" s="1"/>
  <c r="I260" i="6"/>
  <c r="M260" i="6" s="1"/>
  <c r="E27" i="8"/>
  <c r="C17" i="8"/>
  <c r="E30" i="8"/>
  <c r="I29" i="6"/>
  <c r="K29" i="6" s="1"/>
  <c r="I141" i="6"/>
  <c r="K141" i="6" s="1"/>
  <c r="I112" i="6"/>
  <c r="K112" i="6" s="1"/>
  <c r="I207" i="6"/>
  <c r="K207" i="6" s="1"/>
  <c r="I219" i="6"/>
  <c r="M219" i="6" s="1"/>
  <c r="J243" i="6"/>
  <c r="I196" i="6"/>
  <c r="M196" i="6" s="1"/>
  <c r="I244" i="6"/>
  <c r="M244" i="6" s="1"/>
  <c r="I117" i="6"/>
  <c r="M117" i="6" s="1"/>
  <c r="I126" i="6"/>
  <c r="M126" i="6" s="1"/>
  <c r="E55" i="8"/>
  <c r="L3" i="6"/>
  <c r="L232" i="6"/>
  <c r="L248" i="6"/>
  <c r="E39" i="8"/>
  <c r="J261" i="6"/>
  <c r="E43" i="8"/>
  <c r="I18" i="6"/>
  <c r="M18" i="6" s="1"/>
  <c r="I69" i="6"/>
  <c r="M69" i="6" s="1"/>
  <c r="I70" i="6"/>
  <c r="K70" i="6" s="1"/>
  <c r="I79" i="6"/>
  <c r="K79" i="6" s="1"/>
  <c r="I125" i="6"/>
  <c r="K125" i="6" s="1"/>
  <c r="I127" i="6"/>
  <c r="K127" i="6" s="1"/>
  <c r="I144" i="6"/>
  <c r="M144" i="6" s="1"/>
  <c r="I151" i="6"/>
  <c r="K151" i="6" s="1"/>
  <c r="I167" i="6"/>
  <c r="K167" i="6" s="1"/>
  <c r="I231" i="6"/>
  <c r="K231" i="6" s="1"/>
  <c r="L132" i="6"/>
  <c r="C20" i="8"/>
  <c r="E20" i="8"/>
  <c r="C27" i="8"/>
  <c r="C43" i="8"/>
  <c r="J3" i="6"/>
  <c r="L84" i="6"/>
  <c r="J232" i="6"/>
  <c r="I37" i="6"/>
  <c r="K37" i="6" s="1"/>
  <c r="I80" i="6"/>
  <c r="M80" i="6" s="1"/>
  <c r="I94" i="6"/>
  <c r="K94" i="6" s="1"/>
  <c r="I101" i="6"/>
  <c r="M101" i="6" s="1"/>
  <c r="I116" i="6"/>
  <c r="K116" i="6" s="1"/>
  <c r="I130" i="6"/>
  <c r="K130" i="6" s="1"/>
  <c r="I158" i="6"/>
  <c r="K158" i="6" s="1"/>
  <c r="I165" i="6"/>
  <c r="K165" i="6" s="1"/>
  <c r="I175" i="6"/>
  <c r="K175" i="6" s="1"/>
  <c r="I176" i="6"/>
  <c r="M176" i="6" s="1"/>
  <c r="I190" i="6"/>
  <c r="M190" i="6" s="1"/>
  <c r="I201" i="6"/>
  <c r="M201" i="6" s="1"/>
  <c r="I215" i="6"/>
  <c r="K215" i="6" s="1"/>
  <c r="I225" i="6"/>
  <c r="K225" i="6" s="1"/>
  <c r="I228" i="6"/>
  <c r="K228" i="6" s="1"/>
  <c r="I234" i="6"/>
  <c r="M234" i="6" s="1"/>
  <c r="I247" i="6"/>
  <c r="M247" i="6" s="1"/>
  <c r="I256" i="6"/>
  <c r="M256" i="6" s="1"/>
  <c r="L243" i="6"/>
  <c r="I104" i="6"/>
  <c r="K104" i="6" s="1"/>
  <c r="I195" i="6"/>
  <c r="K195" i="6" s="1"/>
  <c r="I211" i="6"/>
  <c r="M211" i="6" s="1"/>
  <c r="I252" i="6"/>
  <c r="M252" i="6" s="1"/>
  <c r="J26" i="6"/>
  <c r="J98" i="6"/>
  <c r="L139" i="6"/>
  <c r="C24" i="8"/>
  <c r="E24" i="8"/>
  <c r="C39" i="8"/>
  <c r="E60" i="8"/>
  <c r="J30" i="6"/>
  <c r="C11" i="8"/>
  <c r="E11" i="8"/>
  <c r="I20" i="6"/>
  <c r="K20" i="6" s="1"/>
  <c r="I74" i="6"/>
  <c r="K74" i="6" s="1"/>
  <c r="I99" i="6"/>
  <c r="M99" i="6" s="1"/>
  <c r="I115" i="6"/>
  <c r="K115" i="6" s="1"/>
  <c r="I200" i="6"/>
  <c r="K200" i="6" s="1"/>
  <c r="I203" i="6"/>
  <c r="M203" i="6" s="1"/>
  <c r="I206" i="6"/>
  <c r="M206" i="6" s="1"/>
  <c r="I250" i="6"/>
  <c r="K250" i="6" s="1"/>
  <c r="I254" i="6"/>
  <c r="M254" i="6" s="1"/>
  <c r="I262" i="6"/>
  <c r="M262" i="6" s="1"/>
  <c r="I263" i="6"/>
  <c r="M263" i="6" s="1"/>
  <c r="J139" i="6"/>
  <c r="L150" i="6"/>
  <c r="I16" i="6"/>
  <c r="K16" i="6" s="1"/>
  <c r="I21" i="6"/>
  <c r="I43" i="6"/>
  <c r="K43" i="6" s="1"/>
  <c r="I61" i="6"/>
  <c r="K61" i="6" s="1"/>
  <c r="I73" i="6"/>
  <c r="I81" i="6"/>
  <c r="K81" i="6" s="1"/>
  <c r="I83" i="6"/>
  <c r="M83" i="6" s="1"/>
  <c r="I100" i="6"/>
  <c r="K100" i="6" s="1"/>
  <c r="I103" i="6"/>
  <c r="K103" i="6" s="1"/>
  <c r="I113" i="6"/>
  <c r="M113" i="6" s="1"/>
  <c r="I118" i="6"/>
  <c r="K118" i="6" s="1"/>
  <c r="I119" i="6"/>
  <c r="M119" i="6" s="1"/>
  <c r="I152" i="6"/>
  <c r="K152" i="6" s="1"/>
  <c r="I194" i="6"/>
  <c r="M194" i="6" s="1"/>
  <c r="I205" i="6"/>
  <c r="M205" i="6" s="1"/>
  <c r="I208" i="6"/>
  <c r="K208" i="6" s="1"/>
  <c r="I221" i="6"/>
  <c r="K221" i="6" s="1"/>
  <c r="J132" i="6"/>
  <c r="J150" i="6"/>
  <c r="I95" i="6"/>
  <c r="K95" i="6" s="1"/>
  <c r="I102" i="6"/>
  <c r="K102" i="6" s="1"/>
  <c r="I128" i="6"/>
  <c r="M128" i="6" s="1"/>
  <c r="L30" i="6"/>
  <c r="J84" i="6"/>
  <c r="L98" i="6"/>
  <c r="E7" i="8"/>
  <c r="C7" i="8"/>
  <c r="D7" i="8" l="1"/>
  <c r="F7" i="8"/>
  <c r="F6" i="8"/>
  <c r="M226" i="6"/>
  <c r="M74" i="6"/>
  <c r="G5" i="15"/>
  <c r="M159" i="6"/>
  <c r="M170" i="6"/>
  <c r="M103" i="6"/>
  <c r="M110" i="6"/>
  <c r="M48" i="6"/>
  <c r="M124" i="6"/>
  <c r="M154" i="6"/>
  <c r="M54" i="6"/>
  <c r="M21" i="6"/>
  <c r="M24" i="6"/>
  <c r="M109" i="6"/>
  <c r="M9" i="6"/>
  <c r="M165" i="6"/>
  <c r="K240" i="6"/>
  <c r="M240" i="6"/>
  <c r="K176" i="6"/>
  <c r="M207" i="6"/>
  <c r="M179" i="6"/>
  <c r="M129" i="6"/>
  <c r="M15" i="6"/>
  <c r="M225" i="6"/>
  <c r="M195" i="6"/>
  <c r="M43" i="6"/>
  <c r="M148" i="6"/>
  <c r="M185" i="6"/>
  <c r="M116" i="6"/>
  <c r="M70" i="6"/>
  <c r="K235" i="6"/>
  <c r="M235" i="6"/>
  <c r="K241" i="6"/>
  <c r="M241" i="6"/>
  <c r="K10" i="6"/>
  <c r="M175" i="6"/>
  <c r="M160" i="6"/>
  <c r="M125" i="6"/>
  <c r="M106" i="6"/>
  <c r="M95" i="6"/>
  <c r="M87" i="6"/>
  <c r="M218" i="6"/>
  <c r="M174" i="6"/>
  <c r="M155" i="6"/>
  <c r="M137" i="6"/>
  <c r="M121" i="6"/>
  <c r="M41" i="6"/>
  <c r="M62" i="6"/>
  <c r="M28" i="6"/>
  <c r="M221" i="6"/>
  <c r="M131" i="6"/>
  <c r="M112" i="6"/>
  <c r="M100" i="6"/>
  <c r="M79" i="6"/>
  <c r="M14" i="6"/>
  <c r="M8" i="6"/>
  <c r="M250" i="6"/>
  <c r="M115" i="6"/>
  <c r="M66" i="6"/>
  <c r="K85" i="6"/>
  <c r="M85" i="6"/>
  <c r="K236" i="6"/>
  <c r="M236" i="6"/>
  <c r="K193" i="6"/>
  <c r="M193" i="6"/>
  <c r="K237" i="6"/>
  <c r="M237" i="6"/>
  <c r="K242" i="6"/>
  <c r="M242" i="6"/>
  <c r="M215" i="6"/>
  <c r="M156" i="6"/>
  <c r="M138" i="6"/>
  <c r="M118" i="6"/>
  <c r="M104" i="6"/>
  <c r="M81" i="6"/>
  <c r="M61" i="6"/>
  <c r="M17" i="6"/>
  <c r="M53" i="6"/>
  <c r="M29" i="6"/>
  <c r="M88" i="6"/>
  <c r="M233" i="6"/>
  <c r="M199" i="6"/>
  <c r="M167" i="6"/>
  <c r="M151" i="6"/>
  <c r="M94" i="6"/>
  <c r="M68" i="6"/>
  <c r="M47" i="6"/>
  <c r="M31" i="6"/>
  <c r="M231" i="6"/>
  <c r="M200" i="6"/>
  <c r="M172" i="6"/>
  <c r="M46" i="6"/>
  <c r="M228" i="6"/>
  <c r="M177" i="6"/>
  <c r="M162" i="6"/>
  <c r="M127" i="6"/>
  <c r="M97" i="6"/>
  <c r="M11" i="6"/>
  <c r="M208" i="6"/>
  <c r="M111" i="6"/>
  <c r="M25" i="6"/>
  <c r="K120" i="6"/>
  <c r="M120" i="6"/>
  <c r="K239" i="6"/>
  <c r="M239" i="6"/>
  <c r="K238" i="6"/>
  <c r="M238" i="6"/>
  <c r="K258" i="6"/>
  <c r="M183" i="6"/>
  <c r="M168" i="6"/>
  <c r="M152" i="6"/>
  <c r="M134" i="6"/>
  <c r="M102" i="6"/>
  <c r="M75" i="6"/>
  <c r="M16" i="6"/>
  <c r="M182" i="6"/>
  <c r="M163" i="6"/>
  <c r="M146" i="6"/>
  <c r="M64" i="6"/>
  <c r="M45" i="6"/>
  <c r="M37" i="6"/>
  <c r="M20" i="6"/>
  <c r="M157" i="6"/>
  <c r="M130" i="6"/>
  <c r="M44" i="6"/>
  <c r="M217" i="6"/>
  <c r="M189" i="6"/>
  <c r="M158" i="6"/>
  <c r="M141" i="6"/>
  <c r="M105" i="6"/>
  <c r="M198" i="6"/>
  <c r="M40" i="6"/>
  <c r="K263" i="6"/>
  <c r="K128" i="6"/>
  <c r="K247" i="6"/>
  <c r="K144" i="6"/>
  <c r="K101" i="6"/>
  <c r="K55" i="6"/>
  <c r="K205" i="6"/>
  <c r="K246" i="6"/>
  <c r="K181" i="6"/>
  <c r="K65" i="6"/>
  <c r="K227" i="6"/>
  <c r="K13" i="6"/>
  <c r="K194" i="6"/>
  <c r="K178" i="6"/>
  <c r="K219" i="6"/>
  <c r="K142" i="6"/>
  <c r="K83" i="6"/>
  <c r="K206" i="6"/>
  <c r="K63" i="6"/>
  <c r="K126" i="6"/>
  <c r="K190" i="6"/>
  <c r="K21" i="6"/>
  <c r="K18" i="6"/>
  <c r="K260" i="6"/>
  <c r="K216" i="6"/>
  <c r="K188" i="6"/>
  <c r="K122" i="6"/>
  <c r="K72" i="6"/>
  <c r="K209" i="6"/>
  <c r="K67" i="6"/>
  <c r="K187" i="6"/>
  <c r="K171" i="6"/>
  <c r="K5" i="6"/>
  <c r="K186" i="6"/>
  <c r="K35" i="6"/>
  <c r="K136" i="6"/>
  <c r="K7" i="6"/>
  <c r="K256" i="6"/>
  <c r="K244" i="6"/>
  <c r="K201" i="6"/>
  <c r="K224" i="6"/>
  <c r="K262" i="6"/>
  <c r="K252" i="6"/>
  <c r="K234" i="6"/>
  <c r="K184" i="6"/>
  <c r="K169" i="6"/>
  <c r="K153" i="6"/>
  <c r="K135" i="6"/>
  <c r="K119" i="6"/>
  <c r="K96" i="6"/>
  <c r="K23" i="6"/>
  <c r="K117" i="6"/>
  <c r="K49" i="6"/>
  <c r="K19" i="6"/>
  <c r="K58" i="6"/>
  <c r="K254" i="6"/>
  <c r="K211" i="6"/>
  <c r="K114" i="6"/>
  <c r="K59" i="6"/>
  <c r="K4" i="6"/>
  <c r="K80" i="6"/>
  <c r="K33" i="6"/>
  <c r="K123" i="6"/>
  <c r="K60" i="6"/>
  <c r="K251" i="6"/>
  <c r="K203" i="6"/>
  <c r="J51" i="6"/>
  <c r="K73" i="6"/>
  <c r="K196" i="6"/>
  <c r="K180" i="6"/>
  <c r="K50" i="6"/>
  <c r="K34" i="6"/>
  <c r="K22" i="6"/>
  <c r="K113" i="6"/>
  <c r="K229" i="6"/>
  <c r="K164" i="6"/>
  <c r="K147" i="6"/>
  <c r="K99" i="6"/>
  <c r="K69" i="6"/>
  <c r="K57" i="6"/>
  <c r="K173" i="6"/>
  <c r="K56" i="6"/>
  <c r="K249" i="6"/>
  <c r="K230" i="6"/>
  <c r="K213" i="6"/>
  <c r="K149" i="6"/>
  <c r="K108" i="6"/>
  <c r="K71" i="6"/>
  <c r="E21" i="15"/>
  <c r="E43" i="15"/>
  <c r="E41" i="15"/>
  <c r="G49" i="15"/>
  <c r="E12" i="15"/>
  <c r="G12" i="15"/>
  <c r="G24" i="15"/>
  <c r="E24" i="15"/>
  <c r="E29" i="15"/>
  <c r="G29" i="15"/>
  <c r="E50" i="15"/>
  <c r="G50" i="15"/>
  <c r="G46" i="15"/>
  <c r="E46" i="15"/>
  <c r="E31" i="15"/>
  <c r="G31" i="15"/>
  <c r="G57" i="15"/>
  <c r="E6" i="15"/>
  <c r="E13" i="15"/>
  <c r="G13" i="15"/>
  <c r="E14" i="15"/>
  <c r="G14" i="15"/>
  <c r="E23" i="15"/>
  <c r="G23" i="15"/>
  <c r="G52" i="15"/>
  <c r="E52" i="15"/>
  <c r="E34" i="15"/>
  <c r="G34" i="15"/>
  <c r="G32" i="15"/>
  <c r="G30" i="15"/>
  <c r="E30" i="15"/>
  <c r="E10" i="15"/>
  <c r="G10" i="15"/>
  <c r="E8" i="15"/>
  <c r="G8" i="15"/>
  <c r="E27" i="15"/>
  <c r="G27" i="15"/>
  <c r="E33" i="15"/>
  <c r="G33" i="15"/>
  <c r="E55" i="15"/>
  <c r="G55" i="15"/>
  <c r="E11" i="15"/>
  <c r="G11" i="15"/>
  <c r="E59" i="15"/>
  <c r="F3" i="8"/>
  <c r="F27" i="8"/>
  <c r="D6" i="8"/>
  <c r="F63" i="8"/>
  <c r="D14" i="8"/>
  <c r="F64" i="8"/>
  <c r="F12" i="8"/>
  <c r="F51" i="8"/>
  <c r="F44" i="8"/>
  <c r="F31" i="8"/>
  <c r="F19" i="8"/>
  <c r="F15" i="8"/>
  <c r="F30" i="8"/>
  <c r="F50" i="8"/>
  <c r="F28" i="8"/>
  <c r="F62" i="8"/>
  <c r="F13" i="8"/>
  <c r="D41" i="8"/>
  <c r="F41" i="8"/>
  <c r="D51" i="8"/>
  <c r="F47" i="8"/>
  <c r="F35" i="8"/>
  <c r="F23" i="8"/>
  <c r="F4" i="8"/>
  <c r="F36" i="8"/>
  <c r="F58" i="8"/>
  <c r="F45" i="8"/>
  <c r="F21" i="8"/>
  <c r="F14" i="8"/>
  <c r="F46" i="8"/>
  <c r="F34" i="8"/>
  <c r="F22" i="8"/>
  <c r="F8" i="8"/>
  <c r="D30" i="8"/>
  <c r="D27" i="8"/>
  <c r="D63" i="8"/>
  <c r="D13" i="8"/>
  <c r="D50" i="8"/>
  <c r="D58" i="8"/>
  <c r="D45" i="8"/>
  <c r="D21" i="8"/>
  <c r="D64" i="8"/>
  <c r="D12" i="8"/>
  <c r="D36" i="8"/>
  <c r="D15" i="8"/>
  <c r="D22" i="8"/>
  <c r="D44" i="8"/>
  <c r="D56" i="8"/>
  <c r="D42" i="8"/>
  <c r="D40" i="8"/>
  <c r="D31" i="8"/>
  <c r="D3" i="8"/>
  <c r="D18" i="8"/>
  <c r="D8" i="8"/>
  <c r="D25" i="8"/>
  <c r="D49" i="8"/>
  <c r="D26" i="8"/>
  <c r="D34" i="8"/>
  <c r="D16" i="8"/>
  <c r="D4" i="8"/>
  <c r="D28" i="8"/>
  <c r="B15" i="14"/>
  <c r="B33" i="8"/>
  <c r="B12" i="14" s="1"/>
  <c r="B14" i="17" s="1"/>
  <c r="D60" i="15"/>
  <c r="I192" i="6"/>
  <c r="M192" i="6" s="1"/>
  <c r="I82" i="6"/>
  <c r="C58" i="15"/>
  <c r="E58" i="15" s="1"/>
  <c r="I143" i="6"/>
  <c r="C9" i="15"/>
  <c r="I204" i="6"/>
  <c r="M204" i="6" s="1"/>
  <c r="I212" i="6"/>
  <c r="M212" i="6" s="1"/>
  <c r="I202" i="6"/>
  <c r="M202" i="6" s="1"/>
  <c r="C4" i="15"/>
  <c r="C42" i="15"/>
  <c r="G42" i="15" s="1"/>
  <c r="D47" i="15"/>
  <c r="C40" i="15"/>
  <c r="E40" i="15" s="1"/>
  <c r="C47" i="15"/>
  <c r="G47" i="15" s="1"/>
  <c r="C60" i="15"/>
  <c r="G60" i="15" s="1"/>
  <c r="C51" i="15"/>
  <c r="C54" i="15"/>
  <c r="C45" i="15"/>
  <c r="G45" i="15" s="1"/>
  <c r="C39" i="15"/>
  <c r="C37" i="15"/>
  <c r="C36" i="15"/>
  <c r="C28" i="15"/>
  <c r="E28" i="15" s="1"/>
  <c r="C26" i="15"/>
  <c r="G26" i="15" s="1"/>
  <c r="C22" i="15"/>
  <c r="C20" i="15"/>
  <c r="C18" i="15"/>
  <c r="C17" i="15"/>
  <c r="C16" i="15"/>
  <c r="I93" i="6"/>
  <c r="I36" i="6"/>
  <c r="I210" i="6"/>
  <c r="M210" i="6" s="1"/>
  <c r="I214" i="6"/>
  <c r="M214" i="6" s="1"/>
  <c r="I257" i="6"/>
  <c r="M257" i="6" s="1"/>
  <c r="I27" i="6"/>
  <c r="M27" i="6" s="1"/>
  <c r="I107" i="6"/>
  <c r="I92" i="6"/>
  <c r="M92" i="6" s="1"/>
  <c r="I166" i="6"/>
  <c r="J259" i="6"/>
  <c r="I161" i="6"/>
  <c r="M161" i="6" s="1"/>
  <c r="I6" i="6"/>
  <c r="M6" i="6" s="1"/>
  <c r="I197" i="6"/>
  <c r="M197" i="6" s="1"/>
  <c r="I39" i="6"/>
  <c r="M39" i="6" s="1"/>
  <c r="I38" i="6"/>
  <c r="M38" i="6" s="1"/>
  <c r="I223" i="6"/>
  <c r="M223" i="6" s="1"/>
  <c r="I42" i="6"/>
  <c r="I32" i="6"/>
  <c r="I259" i="6"/>
  <c r="M259" i="6" s="1"/>
  <c r="I253" i="6"/>
  <c r="M253" i="6" s="1"/>
  <c r="I133" i="6"/>
  <c r="M133" i="6" s="1"/>
  <c r="I89" i="6"/>
  <c r="I220" i="6"/>
  <c r="J257" i="6"/>
  <c r="I255" i="6"/>
  <c r="M255" i="6" s="1"/>
  <c r="AV475" i="1"/>
  <c r="D26" i="15" s="1"/>
  <c r="AP498" i="1"/>
  <c r="C62" i="8"/>
  <c r="AV479" i="1"/>
  <c r="J255" i="6" s="1"/>
  <c r="C61" i="8"/>
  <c r="D61" i="8" s="1"/>
  <c r="U498" i="1"/>
  <c r="J12" i="6"/>
  <c r="L12" i="6"/>
  <c r="H9" i="14"/>
  <c r="H11" i="14"/>
  <c r="H15" i="14"/>
  <c r="F5" i="14"/>
  <c r="G5" i="14" s="1"/>
  <c r="H18" i="14"/>
  <c r="F9" i="14"/>
  <c r="F17" i="14"/>
  <c r="F10" i="14"/>
  <c r="G10" i="14" s="1"/>
  <c r="H13" i="14"/>
  <c r="H17" i="14"/>
  <c r="F7" i="14"/>
  <c r="H19" i="14"/>
  <c r="I19" i="14" s="1"/>
  <c r="F19" i="14"/>
  <c r="G19" i="14" s="1"/>
  <c r="F3" i="14"/>
  <c r="G3" i="14" s="1"/>
  <c r="H6" i="14"/>
  <c r="F14" i="14"/>
  <c r="H10" i="14"/>
  <c r="F11" i="14"/>
  <c r="G11" i="14" s="1"/>
  <c r="C5" i="8"/>
  <c r="H3" i="14"/>
  <c r="H12" i="14"/>
  <c r="H5" i="14"/>
  <c r="H8" i="14"/>
  <c r="F6" i="14"/>
  <c r="F13" i="14"/>
  <c r="F12" i="14"/>
  <c r="F8" i="14"/>
  <c r="H14" i="14"/>
  <c r="E5" i="8"/>
  <c r="F5" i="8" s="1"/>
  <c r="F15" i="14"/>
  <c r="I245" i="6"/>
  <c r="AU498" i="1"/>
  <c r="E19" i="14"/>
  <c r="C19" i="14"/>
  <c r="J19" i="14"/>
  <c r="K19" i="14" s="1"/>
  <c r="C4" i="14"/>
  <c r="E4" i="14"/>
  <c r="J4" i="14"/>
  <c r="K4" i="14" s="1"/>
  <c r="E3" i="14"/>
  <c r="C3" i="14"/>
  <c r="J3" i="14"/>
  <c r="J5" i="14"/>
  <c r="K5" i="14" s="1"/>
  <c r="C5" i="14"/>
  <c r="E5" i="14"/>
  <c r="E11" i="14"/>
  <c r="C11" i="14"/>
  <c r="J11" i="14"/>
  <c r="K11" i="14" s="1"/>
  <c r="E10" i="14"/>
  <c r="C10" i="14"/>
  <c r="J10" i="14"/>
  <c r="K10" i="14" s="1"/>
  <c r="I52" i="6"/>
  <c r="I78" i="6"/>
  <c r="B55" i="8"/>
  <c r="B17" i="14" s="1"/>
  <c r="B24" i="17" s="1"/>
  <c r="I77" i="6"/>
  <c r="B20" i="8"/>
  <c r="B8" i="14" s="1"/>
  <c r="B10" i="17" s="1"/>
  <c r="E65" i="8"/>
  <c r="B24" i="8"/>
  <c r="B9" i="14" s="1"/>
  <c r="B11" i="17" s="1"/>
  <c r="B17" i="8"/>
  <c r="B7" i="14" s="1"/>
  <c r="B9" i="17" s="1"/>
  <c r="B39" i="8"/>
  <c r="B13" i="14" s="1"/>
  <c r="B15" i="17" s="1"/>
  <c r="I140" i="6"/>
  <c r="B11" i="8"/>
  <c r="B6" i="14" s="1"/>
  <c r="B8" i="17" s="1"/>
  <c r="B43" i="8"/>
  <c r="B14" i="14" s="1"/>
  <c r="B16" i="17" s="1"/>
  <c r="B60" i="8"/>
  <c r="B18" i="14" s="1"/>
  <c r="B25" i="17" s="1"/>
  <c r="E18" i="8"/>
  <c r="F18" i="8" s="1"/>
  <c r="I222" i="6"/>
  <c r="I12" i="6"/>
  <c r="I261" i="6"/>
  <c r="M261" i="6" s="1"/>
  <c r="I232" i="6"/>
  <c r="K232" i="6" s="1"/>
  <c r="G15" i="14" l="1"/>
  <c r="K255" i="6"/>
  <c r="E26" i="15"/>
  <c r="G12" i="14"/>
  <c r="I12" i="14"/>
  <c r="G40" i="15"/>
  <c r="M232" i="6"/>
  <c r="I11" i="14"/>
  <c r="G13" i="14"/>
  <c r="I10" i="14"/>
  <c r="I13" i="14"/>
  <c r="I18" i="14"/>
  <c r="I9" i="14"/>
  <c r="I5" i="14"/>
  <c r="I17" i="14"/>
  <c r="I14" i="14"/>
  <c r="I3" i="14"/>
  <c r="I8" i="14"/>
  <c r="I6" i="14"/>
  <c r="I15" i="14"/>
  <c r="G9" i="14"/>
  <c r="G6" i="14"/>
  <c r="G14" i="14"/>
  <c r="G8" i="14"/>
  <c r="G7" i="14"/>
  <c r="G17" i="14"/>
  <c r="K32" i="6"/>
  <c r="M32" i="6"/>
  <c r="K36" i="6"/>
  <c r="M36" i="6"/>
  <c r="K140" i="6"/>
  <c r="M140" i="6"/>
  <c r="K78" i="6"/>
  <c r="M78" i="6"/>
  <c r="M12" i="6"/>
  <c r="K42" i="6"/>
  <c r="M42" i="6"/>
  <c r="K166" i="6"/>
  <c r="M166" i="6"/>
  <c r="K93" i="6"/>
  <c r="M93" i="6"/>
  <c r="K143" i="6"/>
  <c r="M143" i="6"/>
  <c r="K222" i="6"/>
  <c r="M222" i="6"/>
  <c r="K52" i="6"/>
  <c r="M52" i="6"/>
  <c r="K89" i="6"/>
  <c r="M89" i="6"/>
  <c r="K77" i="6"/>
  <c r="M77" i="6"/>
  <c r="K245" i="6"/>
  <c r="M245" i="6"/>
  <c r="K220" i="6"/>
  <c r="M220" i="6"/>
  <c r="K107" i="6"/>
  <c r="M107" i="6"/>
  <c r="K82" i="6"/>
  <c r="M82" i="6"/>
  <c r="K192" i="6"/>
  <c r="K161" i="6"/>
  <c r="K39" i="6"/>
  <c r="K259" i="6"/>
  <c r="K27" i="6"/>
  <c r="K202" i="6"/>
  <c r="I132" i="6"/>
  <c r="K133" i="6"/>
  <c r="K197" i="6"/>
  <c r="K212" i="6"/>
  <c r="K261" i="6"/>
  <c r="K38" i="6"/>
  <c r="K210" i="6"/>
  <c r="K12" i="6"/>
  <c r="E6" i="7"/>
  <c r="K257" i="6"/>
  <c r="K223" i="6"/>
  <c r="I3" i="6"/>
  <c r="K6" i="6"/>
  <c r="K92" i="6"/>
  <c r="K214" i="6"/>
  <c r="K204" i="6"/>
  <c r="G18" i="15"/>
  <c r="E18" i="15"/>
  <c r="G22" i="15"/>
  <c r="E22" i="15"/>
  <c r="G37" i="15"/>
  <c r="E37" i="15"/>
  <c r="E51" i="15"/>
  <c r="G51" i="15"/>
  <c r="E4" i="15"/>
  <c r="G4" i="15"/>
  <c r="G9" i="15"/>
  <c r="E9" i="15"/>
  <c r="E36" i="15"/>
  <c r="G36" i="15"/>
  <c r="G39" i="15"/>
  <c r="E39" i="15"/>
  <c r="E47" i="15"/>
  <c r="E60" i="15"/>
  <c r="G28" i="15"/>
  <c r="G54" i="15"/>
  <c r="E54" i="15"/>
  <c r="E16" i="15"/>
  <c r="G16" i="15"/>
  <c r="E17" i="15"/>
  <c r="G17" i="15"/>
  <c r="G20" i="15"/>
  <c r="E20" i="15"/>
  <c r="E42" i="15"/>
  <c r="F33" i="8"/>
  <c r="F55" i="8"/>
  <c r="F11" i="8"/>
  <c r="F39" i="8"/>
  <c r="D33" i="8"/>
  <c r="F24" i="8"/>
  <c r="F43" i="8"/>
  <c r="F20" i="8"/>
  <c r="F60" i="8"/>
  <c r="D55" i="8"/>
  <c r="D17" i="8"/>
  <c r="D43" i="8"/>
  <c r="D20" i="8"/>
  <c r="C53" i="8"/>
  <c r="D5" i="8"/>
  <c r="D62" i="8"/>
  <c r="D11" i="8"/>
  <c r="D39" i="8"/>
  <c r="D24" i="8"/>
  <c r="B17" i="17"/>
  <c r="B18" i="17" s="1"/>
  <c r="C15" i="17" s="1"/>
  <c r="C15" i="14"/>
  <c r="E15" i="14"/>
  <c r="J15" i="14"/>
  <c r="K15" i="14" s="1"/>
  <c r="D56" i="15"/>
  <c r="C7" i="15"/>
  <c r="C3" i="15"/>
  <c r="B27" i="17"/>
  <c r="C24" i="17" s="1"/>
  <c r="C56" i="15"/>
  <c r="C25" i="15"/>
  <c r="F58" i="15"/>
  <c r="G58" i="15" s="1"/>
  <c r="C44" i="15"/>
  <c r="C53" i="15"/>
  <c r="C19" i="15"/>
  <c r="D25" i="15"/>
  <c r="C48" i="15"/>
  <c r="C38" i="15"/>
  <c r="D45" i="15"/>
  <c r="E45" i="15" s="1"/>
  <c r="C35" i="15"/>
  <c r="C15" i="15"/>
  <c r="I26" i="6"/>
  <c r="D4" i="7"/>
  <c r="H4" i="7" s="1"/>
  <c r="I98" i="6"/>
  <c r="I150" i="6"/>
  <c r="M150" i="6" s="1"/>
  <c r="I30" i="6"/>
  <c r="M30" i="6" s="1"/>
  <c r="I84" i="6"/>
  <c r="D5" i="7"/>
  <c r="H5" i="7" s="1"/>
  <c r="I248" i="6"/>
  <c r="M248" i="6" s="1"/>
  <c r="C60" i="8"/>
  <c r="J253" i="6"/>
  <c r="K253" i="6" s="1"/>
  <c r="AV498" i="1"/>
  <c r="I139" i="6"/>
  <c r="I51" i="6"/>
  <c r="K51" i="6" s="1"/>
  <c r="I243" i="6"/>
  <c r="I191" i="6"/>
  <c r="H20" i="14"/>
  <c r="U25" i="14" s="1"/>
  <c r="H4" i="14"/>
  <c r="F4" i="14"/>
  <c r="G4" i="14" s="1"/>
  <c r="E17" i="8"/>
  <c r="D3" i="7"/>
  <c r="D6" i="7"/>
  <c r="C17" i="14"/>
  <c r="J17" i="14"/>
  <c r="E17" i="14"/>
  <c r="B20" i="14"/>
  <c r="O25" i="14" s="1"/>
  <c r="R25" i="14" s="1"/>
  <c r="E18" i="14"/>
  <c r="C18" i="14"/>
  <c r="J18" i="14"/>
  <c r="K18" i="14" s="1"/>
  <c r="C14" i="14"/>
  <c r="E14" i="14"/>
  <c r="J14" i="14"/>
  <c r="K14" i="14" s="1"/>
  <c r="J9" i="14"/>
  <c r="K9" i="14" s="1"/>
  <c r="C9" i="14"/>
  <c r="E9" i="14"/>
  <c r="J13" i="14"/>
  <c r="K13" i="14" s="1"/>
  <c r="E13" i="14"/>
  <c r="C13" i="14"/>
  <c r="J12" i="14"/>
  <c r="K12" i="14" s="1"/>
  <c r="E12" i="14"/>
  <c r="C12" i="14"/>
  <c r="C6" i="14"/>
  <c r="E6" i="14"/>
  <c r="J6" i="14"/>
  <c r="K6" i="14" s="1"/>
  <c r="K3" i="14"/>
  <c r="J7" i="14"/>
  <c r="K7" i="14" s="1"/>
  <c r="C7" i="14"/>
  <c r="E7" i="14"/>
  <c r="J8" i="14"/>
  <c r="K8" i="14" s="1"/>
  <c r="C8" i="14"/>
  <c r="E8" i="14"/>
  <c r="B16" i="14"/>
  <c r="O3" i="14" s="1"/>
  <c r="R3" i="14" s="1"/>
  <c r="I76" i="6"/>
  <c r="B65" i="8"/>
  <c r="L73" i="6"/>
  <c r="M73" i="6" s="1"/>
  <c r="AW498" i="1"/>
  <c r="B53" i="8"/>
  <c r="E25" i="15" l="1"/>
  <c r="V25" i="14"/>
  <c r="I4" i="14"/>
  <c r="I20" i="14"/>
  <c r="K243" i="6"/>
  <c r="M243" i="6"/>
  <c r="K98" i="6"/>
  <c r="M98" i="6"/>
  <c r="K132" i="6"/>
  <c r="M132" i="6"/>
  <c r="K3" i="6"/>
  <c r="M3" i="6"/>
  <c r="K84" i="6"/>
  <c r="M84" i="6"/>
  <c r="K139" i="6"/>
  <c r="M139" i="6"/>
  <c r="K26" i="6"/>
  <c r="M26" i="6"/>
  <c r="K76" i="6"/>
  <c r="M76" i="6"/>
  <c r="K191" i="6"/>
  <c r="M191" i="6"/>
  <c r="F6" i="7"/>
  <c r="K150" i="6"/>
  <c r="K30" i="6"/>
  <c r="E56" i="15"/>
  <c r="E35" i="15"/>
  <c r="G35" i="15"/>
  <c r="G44" i="15"/>
  <c r="G38" i="15"/>
  <c r="E38" i="15"/>
  <c r="G25" i="15"/>
  <c r="G3" i="15"/>
  <c r="E3" i="15"/>
  <c r="E7" i="15"/>
  <c r="G7" i="15"/>
  <c r="G15" i="15"/>
  <c r="E15" i="15"/>
  <c r="E53" i="15"/>
  <c r="G53" i="15"/>
  <c r="G48" i="15"/>
  <c r="E48" i="15"/>
  <c r="E19" i="15"/>
  <c r="G19" i="15"/>
  <c r="F17" i="8"/>
  <c r="F65" i="8"/>
  <c r="F3" i="7"/>
  <c r="H3" i="7"/>
  <c r="F4" i="7"/>
  <c r="F18" i="14"/>
  <c r="D60" i="8"/>
  <c r="D53" i="8"/>
  <c r="C7" i="17"/>
  <c r="C9" i="17"/>
  <c r="C8" i="17"/>
  <c r="C16" i="17"/>
  <c r="C10" i="17"/>
  <c r="C6" i="17"/>
  <c r="C11" i="17"/>
  <c r="C14" i="17"/>
  <c r="C13" i="17"/>
  <c r="C5" i="17"/>
  <c r="C12" i="17"/>
  <c r="C17" i="17"/>
  <c r="C26" i="17"/>
  <c r="B29" i="17"/>
  <c r="C25" i="17"/>
  <c r="F56" i="15"/>
  <c r="D44" i="15"/>
  <c r="E44" i="15" s="1"/>
  <c r="C61" i="15"/>
  <c r="C65" i="8"/>
  <c r="E5" i="7"/>
  <c r="F5" i="7" s="1"/>
  <c r="J248" i="6"/>
  <c r="K248" i="6" s="1"/>
  <c r="E53" i="8"/>
  <c r="H7" i="14"/>
  <c r="I264" i="6"/>
  <c r="G6" i="7"/>
  <c r="H6" i="7" s="1"/>
  <c r="F16" i="14"/>
  <c r="D7" i="7"/>
  <c r="C20" i="14"/>
  <c r="E20" i="14"/>
  <c r="K17" i="14"/>
  <c r="J20" i="14"/>
  <c r="W25" i="14" s="1"/>
  <c r="X25" i="14" s="1"/>
  <c r="C16" i="14"/>
  <c r="E16" i="14"/>
  <c r="B21" i="14"/>
  <c r="J16" i="14"/>
  <c r="W3" i="14" s="1"/>
  <c r="X3" i="14" s="1"/>
  <c r="L51" i="6"/>
  <c r="M51" i="6" s="1"/>
  <c r="B67" i="8"/>
  <c r="E21" i="14" l="1"/>
  <c r="O55" i="14"/>
  <c r="R55" i="14" s="1"/>
  <c r="G16" i="14"/>
  <c r="S3" i="14"/>
  <c r="T3" i="14" s="1"/>
  <c r="I7" i="14"/>
  <c r="F20" i="14"/>
  <c r="S25" i="14" s="1"/>
  <c r="T25" i="14" s="1"/>
  <c r="G18" i="14"/>
  <c r="F61" i="15"/>
  <c r="G61" i="15" s="1"/>
  <c r="G56" i="15"/>
  <c r="F53" i="8"/>
  <c r="C67" i="8"/>
  <c r="D67" i="8" s="1"/>
  <c r="D65" i="8"/>
  <c r="C18" i="17"/>
  <c r="C27" i="17"/>
  <c r="D61" i="15"/>
  <c r="E61" i="15" s="1"/>
  <c r="J264" i="6"/>
  <c r="K264" i="6" s="1"/>
  <c r="E7" i="7"/>
  <c r="F7" i="7" s="1"/>
  <c r="H16" i="14"/>
  <c r="U3" i="14" s="1"/>
  <c r="V3" i="14" s="1"/>
  <c r="E67" i="8"/>
  <c r="L264" i="6"/>
  <c r="M264" i="6" s="1"/>
  <c r="G7" i="7"/>
  <c r="H7" i="7" s="1"/>
  <c r="K20" i="14"/>
  <c r="J21" i="14"/>
  <c r="W55" i="14" s="1"/>
  <c r="K16" i="14"/>
  <c r="C21" i="14"/>
  <c r="X55" i="14" l="1"/>
  <c r="I16" i="14"/>
  <c r="G20" i="14"/>
  <c r="F21" i="14"/>
  <c r="F67" i="8"/>
  <c r="H21" i="14"/>
  <c r="U55" i="14" s="1"/>
  <c r="V55" i="14" s="1"/>
  <c r="K21" i="14"/>
  <c r="G21" i="14" l="1"/>
  <c r="S55" i="14"/>
  <c r="T55" i="14" s="1"/>
  <c r="I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tc={F8AB1063-CD82-4188-9F34-0B7E7D1EB940}</author>
    <author>AUXPLANEACION03</author>
    <author>AUXPLANEACION01</author>
    <author>tc={80D67E61-5E96-4D1C-91CB-884C50C5F6E6}</author>
  </authors>
  <commentList>
    <comment ref="AR38"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según decreto 1275 6/11/2024</t>
        </r>
      </text>
    </comment>
    <comment ref="P60" authorId="1" shapeId="0" xr:uid="{00000000-0006-0000-0000-000002000000}">
      <text>
        <r>
          <rPr>
            <b/>
            <sz val="9"/>
            <color indexed="81"/>
            <rFont val="Tahoma"/>
            <family val="2"/>
          </rPr>
          <t>AUXPLANEACION03:</t>
        </r>
        <r>
          <rPr>
            <sz val="9"/>
            <color indexed="81"/>
            <rFont val="Tahoma"/>
            <family val="2"/>
          </rPr>
          <t xml:space="preserve">
PLAN INSICATIVO SE PROGRAMO 0.5</t>
        </r>
      </text>
    </comment>
    <comment ref="Q194" authorId="1" shapeId="0" xr:uid="{00000000-0006-0000-0000-000003000000}">
      <text>
        <r>
          <rPr>
            <b/>
            <sz val="9"/>
            <color indexed="81"/>
            <rFont val="Tahoma"/>
            <family val="2"/>
          </rPr>
          <t>AUXPLANEACION03:</t>
        </r>
        <r>
          <rPr>
            <sz val="9"/>
            <color indexed="81"/>
            <rFont val="Tahoma"/>
            <family val="2"/>
          </rPr>
          <t xml:space="preserve">
se coloca el nro de personas capacitadas
</t>
        </r>
      </text>
    </comment>
    <comment ref="AO303" authorId="2" shapeId="0" xr:uid="{00000000-0006-0000-0000-000004000000}">
      <text>
        <r>
          <rPr>
            <b/>
            <sz val="9"/>
            <color indexed="81"/>
            <rFont val="Tahoma"/>
            <family val="2"/>
          </rPr>
          <t>AUXPLANEACION01:</t>
        </r>
        <r>
          <rPr>
            <sz val="9"/>
            <color indexed="81"/>
            <rFont val="Tahoma"/>
            <family val="2"/>
          </rPr>
          <t xml:space="preserve">
SE AJUSTO POAI EN RECURSOS FONPET</t>
        </r>
      </text>
    </comment>
    <comment ref="AO492" authorId="3" shapeId="0" xr:uid="{00000000-0006-0000-0000-000005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107.952.442
</t>
        </r>
      </text>
    </comment>
  </commentList>
</comments>
</file>

<file path=xl/sharedStrings.xml><?xml version="1.0" encoding="utf-8"?>
<sst xmlns="http://schemas.openxmlformats.org/spreadsheetml/2006/main" count="5450" uniqueCount="1277">
  <si>
    <t xml:space="preserve">CODIGO:  </t>
  </si>
  <si>
    <t xml:space="preserve">VERSIÓN: </t>
  </si>
  <si>
    <t xml:space="preserve">FECHA: </t>
  </si>
  <si>
    <t>PÁGINA:</t>
  </si>
  <si>
    <t xml:space="preserve"> 1 de 1</t>
  </si>
  <si>
    <t>CÓDIGO</t>
  </si>
  <si>
    <t xml:space="preserve">PROGRAMA CATÁLOGO MGA </t>
  </si>
  <si>
    <t xml:space="preserve"> CÓDIGO BPIN </t>
  </si>
  <si>
    <t xml:space="preserve"> NOMBRE DEL PROYECTO </t>
  </si>
  <si>
    <t xml:space="preserve">  ESTAMPILLAS
PRO - CULTURA
PRO - ADULTO MAYOR
PRO - DESARROLLO
PRO - DEPORTE </t>
  </si>
  <si>
    <t xml:space="preserve"> MONOPOLIO EDUCACIÓN SALUD Y DEPORTE </t>
  </si>
  <si>
    <t xml:space="preserve"> SGP SALÚD PUBLICA - PRESTACIÓN DE SERVICIOS </t>
  </si>
  <si>
    <t xml:space="preserve">  RENTAS CEDIDAS - SALUD - INDEPORTES </t>
  </si>
  <si>
    <t xml:space="preserve">  SGP EDUCACIÓN - CONECTIVIDAD - </t>
  </si>
  <si>
    <t xml:space="preserve">  SGP AGUA POTABLE Y SANEAMIENTO BÁSICO </t>
  </si>
  <si>
    <t xml:space="preserve">  RECURSO ORDINARIO </t>
  </si>
  <si>
    <t xml:space="preserve"> OTROS (FDO SEGURIDAD - ACPM- IVA TELEFONIA MÓVIL  - IMP REGISTRO- RO IDTQ iPOCONSUMO CIGARRILLOS ESTUPEFACIENTES-EXTRACC MATERIAL RIO.FONPET 01) </t>
  </si>
  <si>
    <t xml:space="preserve"> NACIÓN- PAE - ANTICONTRABANDO  </t>
  </si>
  <si>
    <t>RESPONSABLE</t>
  </si>
  <si>
    <t>Secretaría Administrativa</t>
  </si>
  <si>
    <t>Liderazgo, Gobernabilidad y Transparencia</t>
  </si>
  <si>
    <t xml:space="preserve">Gobernabilidad, Fortalecimiento Institucional y Seguridad. “Quindío territorio seguro y confiable” </t>
  </si>
  <si>
    <t>Gobierno territorial</t>
  </si>
  <si>
    <t xml:space="preserve">Fortalecimiento a la gestión y dirección de la administración pública territorial </t>
  </si>
  <si>
    <t xml:space="preserve">Servicio de Implementación Sistemas de Gestión </t>
  </si>
  <si>
    <t>Sistema de Gestión implementado</t>
  </si>
  <si>
    <t>Acumulada</t>
  </si>
  <si>
    <t>Implementación del Modelo Integrado de Planeación y de Gestión MIPG  de la Administración Departamental del Quindío (Dimensiones  de Talento humano,  Información y Comunicación y Gestión del Conocimiento).</t>
  </si>
  <si>
    <t xml:space="preserve">  Secretario Administrativo</t>
  </si>
  <si>
    <t>45</t>
  </si>
  <si>
    <t>Gobierno Territorial</t>
  </si>
  <si>
    <t>4599</t>
  </si>
  <si>
    <t>Fortalecimiento a la gestión y dirección de la administración pública territorial</t>
  </si>
  <si>
    <t>4599023</t>
  </si>
  <si>
    <t>Servicio de Implementación Sistemas de Gestión</t>
  </si>
  <si>
    <t>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t>
  </si>
  <si>
    <t>Liderazgo, Gobernabilidad y Transparecia</t>
  </si>
  <si>
    <t xml:space="preserve">Servicio de saneamiento fiscal y financiero </t>
  </si>
  <si>
    <t xml:space="preserve">Programa de saneamiento fiscal y financiero ejecutado </t>
  </si>
  <si>
    <t xml:space="preserve">Actualización, depuración, seguimiento y evaluación del Pasivo Pensional de la Administración Departamental del Quindío </t>
  </si>
  <si>
    <t>4599002</t>
  </si>
  <si>
    <t>Servicio de saneamiento fiscal y financiero</t>
  </si>
  <si>
    <t>Programa de sanemiento fiscal y financiero ejecutado</t>
  </si>
  <si>
    <t>Actualización, depuración, seguimiento y evaluación del pasivo pensional del Gobierno Departamental del Quindío</t>
  </si>
  <si>
    <t>Fortalecimiento del sistema de gestión documental mediante la modernización locativa y tecnológica para garantizar el acceso a la información oportuna y eficiente en el departamento del Quindío</t>
  </si>
  <si>
    <t xml:space="preserve"> Fortalecimiento a la gestión y dirección de la administración pública territorial </t>
  </si>
  <si>
    <t xml:space="preserve"> Servicio de gestión documental actualizado </t>
  </si>
  <si>
    <t xml:space="preserve"> Sistema de gestión documental actualizado </t>
  </si>
  <si>
    <t>Fortalecimiento del sistema de gestión documental mediante la modernización archivistica, locativa y tecnológica para garantizar el acceso a la información oportuna y eficiente en el Departamento del Quindío.</t>
  </si>
  <si>
    <t>Fortalecimiento del buen gobierno para el respeto y garantía de los derechos humanos</t>
  </si>
  <si>
    <t>Servicio de integración de la oferta pública</t>
  </si>
  <si>
    <t xml:space="preserve">Espacios de integración de oferta pública generados </t>
  </si>
  <si>
    <t xml:space="preserve">Implementación del Sistema Departamental de Servicio a la Ciudadanía SDSC   en la Administración Departamental. </t>
  </si>
  <si>
    <t>4502</t>
  </si>
  <si>
    <t>4502033</t>
  </si>
  <si>
    <t>450203300</t>
  </si>
  <si>
    <t>Espacios de integración de oferta pública generados</t>
  </si>
  <si>
    <t>Implementación del Sistema Departamental de Servicio a la Ciudadanía SDSC de manera participativa e incluyente en el gobierno del   Quindio</t>
  </si>
  <si>
    <t>Secretaría de Planeación</t>
  </si>
  <si>
    <t>Servicio de promoción a la participación ciudadana</t>
  </si>
  <si>
    <t>Espacios de participación promovidos</t>
  </si>
  <si>
    <t xml:space="preserve">Fortalecimiento  del Consejo Territorial de Planeación del Departamento del Quindío. "TÚ y YO SOMOS QUINDIO" </t>
  </si>
  <si>
    <t xml:space="preserve"> Secretario de Planeación </t>
  </si>
  <si>
    <t xml:space="preserve">Gobierno Territorial </t>
  </si>
  <si>
    <t>Fortalecimiento en las capacidades del Consejo Territorial de Planeación en los prcesos de planificación territorial del Departamento del Quindío.</t>
  </si>
  <si>
    <t>Documentos de lineamientos técnicos</t>
  </si>
  <si>
    <t>Documentos de lineamientos técnicos realizados</t>
  </si>
  <si>
    <t>No Acumulada</t>
  </si>
  <si>
    <t xml:space="preserve">Implementación   de instrumentos de planificación para  en  Ordenamiento y la Gestión Territorial Departamental del Quindío  "TU Y YO SOMOS QUINDIO" </t>
  </si>
  <si>
    <t>Servicio de asistencia técnica</t>
  </si>
  <si>
    <t>Entidades, organismos y dependencias asistidos técnicamente</t>
  </si>
  <si>
    <t>Fortalecimiento de los procesos de apoyo, asesoría y seguimiento en programas para la planificación de la gestión territorial en los municipios del Departamento del Quindío</t>
  </si>
  <si>
    <t>4599031</t>
  </si>
  <si>
    <t>Programas asistidos técnicamente</t>
  </si>
  <si>
    <t>Servicios de información implementados</t>
  </si>
  <si>
    <t>Sistemas de información implementados</t>
  </si>
  <si>
    <t>Implementación del Observatorio Económico  de la Administración Departamental del Quindío "TU Y YO SOMOS QUINDIO"</t>
  </si>
  <si>
    <t>4599025</t>
  </si>
  <si>
    <t>Implementación de los Sistemas de información para la generación de datos de manera accesible, confiable y oportuna en el Departamento del Quindío</t>
  </si>
  <si>
    <t>459902504</t>
  </si>
  <si>
    <t>Observatorio implementado</t>
  </si>
  <si>
    <t>Fortalecimiento del Banco de Programas y Proyectos de la administración departamental  "TÚ Y YO SOMOS QUINDIO"</t>
  </si>
  <si>
    <t>Dependencias asistidas técnicamente</t>
  </si>
  <si>
    <t>Implementación del Banco de Programas y Proyectos en la administración del departamento del Quindío</t>
  </si>
  <si>
    <t>Entidades territoriales asistidas técnicamente</t>
  </si>
  <si>
    <t>Asistencia Técnica  en  Instrumentos de Planificación y gestión  territorial en los  municipios del Departamento del  Quindío.</t>
  </si>
  <si>
    <t>Fortalecimiento de los procesos de asistencia Técnica  en  herramientas de gestión y conocimiento de políticas, planes, programas y proyectos, para el incremento del indice de gestión y desempeño de los entes  territoriales del Departamento del  Quindío.</t>
  </si>
  <si>
    <t xml:space="preserve">Implementación del Sistemas de Gestión y de Desempeño Institucional en el marco del Modelo Integrado de Planeación y Gestión - MIPG en la Administración Departamental del Quindío </t>
  </si>
  <si>
    <t>4599001</t>
  </si>
  <si>
    <t>Documentos de evaluación</t>
  </si>
  <si>
    <t>459900100</t>
  </si>
  <si>
    <t>Documentos de evaluación elaborados</t>
  </si>
  <si>
    <t xml:space="preserve">Implementacion procesos de seguimiento, análiis de resultados e impactos de las politicas públicas, planes y programas de la administración departamental y Entes Descentralizados del departamento del Quindío </t>
  </si>
  <si>
    <t>Documentos de lineamientos técnicos (Producto principal del proyecto)</t>
  </si>
  <si>
    <t xml:space="preserve">Documentos de lineamientos técnicos realizados  </t>
  </si>
  <si>
    <t>Formulación  Plan de Desarrollo Departamental 2024-2027</t>
  </si>
  <si>
    <t>Secretaría de Hacienda y Finanzas Públicas</t>
  </si>
  <si>
    <t xml:space="preserve">Estrategia para el mejoramiento del Índice de Desempeño Fiscal ejecutada </t>
  </si>
  <si>
    <t>Implementación de estrategias de fortalecimiento del desempeño fiscal de la Administración departamental del Quindío</t>
  </si>
  <si>
    <t>Secretaria de Hacienda</t>
  </si>
  <si>
    <t>Programa de saneamiento fiscal y financiero ejecutado</t>
  </si>
  <si>
    <t xml:space="preserve">Implementación  de  un programa para el cumplimiento de las políticas y prácticas contables de la administración departamental del Quindío.    </t>
  </si>
  <si>
    <t>Gobernabilidad, Fortalecimiento Institucional y Seguridad. “Quindío territorio seguro y confiable”</t>
  </si>
  <si>
    <t>Estrategia para el mejoramiento del Índice de Desempeño Fiscal ejecutada</t>
  </si>
  <si>
    <t>Secretaría de Aguas e Infraestructura</t>
  </si>
  <si>
    <t>Inclusión Social y Equidad</t>
  </si>
  <si>
    <t>Justicia y del derecho</t>
  </si>
  <si>
    <t>Promoción al acceso a la justicia</t>
  </si>
  <si>
    <t>Servicio de promoción del acceso a la justicia</t>
  </si>
  <si>
    <t xml:space="preserve">Estrategias de acceso a la justicia desarrolladas </t>
  </si>
  <si>
    <t>Mantenimiento de las instituciones públicas y/o de seguridad y  justicia  del Estado en el Departamento Quindío</t>
  </si>
  <si>
    <t>Secretario de Aguas e Infraestructura</t>
  </si>
  <si>
    <t>Social, Inclusiva y Participativa. "En el Quindío todos caben y nadie se quedan atrás".</t>
  </si>
  <si>
    <t>Educación</t>
  </si>
  <si>
    <t>Calidad, cobertura y fortalecimiento de la educación inicial, prescolar, básica y media</t>
  </si>
  <si>
    <t>Infraestructura educativa mantenida</t>
  </si>
  <si>
    <t>Sedes mantenidas</t>
  </si>
  <si>
    <t xml:space="preserve">Mantenimiento de  la infraestructura  Educativa en el Departamento del Quindío, </t>
  </si>
  <si>
    <t>2201052</t>
  </si>
  <si>
    <t>Infraestructura educativa mejorada</t>
  </si>
  <si>
    <t>220105200</t>
  </si>
  <si>
    <t xml:space="preserve">Sedes educativas mejoradas </t>
  </si>
  <si>
    <t>Mejoramiento y mantenimiento de las condiciones de la infraestructura educativa para la cobertura estudiantil en el departamento del Quindío</t>
  </si>
  <si>
    <t>Cultura</t>
  </si>
  <si>
    <t>Promoción y acceso efectivo a procesos culturales y artísticos</t>
  </si>
  <si>
    <t>Servicio de mantenimiento de infraestructura cultural</t>
  </si>
  <si>
    <t>330106800</t>
  </si>
  <si>
    <t>Infraestructura cultural intervenida</t>
  </si>
  <si>
    <t xml:space="preserve">Mantenimiento de la infraestructura cultural en el departamento del Quindío  </t>
  </si>
  <si>
    <t>Inclusión social y reconciliación</t>
  </si>
  <si>
    <t>Atención integral de población en situación permanente de desprotección social y/o familiar</t>
  </si>
  <si>
    <t>Centros de atención integral para personas con discapacidad construidos y dotados,</t>
  </si>
  <si>
    <t xml:space="preserve">Centros de atención integral para personas con discapacidad construidos y dotados </t>
  </si>
  <si>
    <t>Construcción y dotación de un centro de atención integral para personas con discapacidad en el departamento del Quindio</t>
  </si>
  <si>
    <t>Deporte y recreación</t>
  </si>
  <si>
    <t>Fomento a la recreación, la actividad física y el deporte para desarrollar entornos de convivencia y paz</t>
  </si>
  <si>
    <t>Servicio de mantenimiento a la infraestructura deportiva</t>
  </si>
  <si>
    <t>Intervenciones realizadas a infraestructura deportiva</t>
  </si>
  <si>
    <t xml:space="preserve">Mantenimiento mejoramiento y/o rehabilitación de  obras físicas de infraestructura deportiva y recreativa en el Departamento del Quindío  </t>
  </si>
  <si>
    <t>43</t>
  </si>
  <si>
    <t>4301</t>
  </si>
  <si>
    <t>Fomento a la recreación, la actividad física y el deporte</t>
  </si>
  <si>
    <t>4301004</t>
  </si>
  <si>
    <t>Infraestructura deportiva mantenida</t>
  </si>
  <si>
    <t>Fortalecimiento de la infraestructura deportiva y recreativa en el departamento del  Quindio</t>
  </si>
  <si>
    <t>Parques recreativos mejorados</t>
  </si>
  <si>
    <t>Territorio, Ambiente y Desarrollo Sostenible</t>
  </si>
  <si>
    <t>Convergencia Territorial.  “Quindío interconectado territorialmente, donde el progreso y las oportunidades llegan a todos los rincones”</t>
  </si>
  <si>
    <t>Transporte</t>
  </si>
  <si>
    <t xml:space="preserve">Infraestructura red vial regional </t>
  </si>
  <si>
    <t xml:space="preserve">Vía terciaria mejorada </t>
  </si>
  <si>
    <t>Vía terciaria mejorada</t>
  </si>
  <si>
    <t>Mantenimiento mejoramiento rehabilitación y/o atención las vías  para  garantizar  la movilidad y competitividad en el departamento del Quindío</t>
  </si>
  <si>
    <t>24</t>
  </si>
  <si>
    <t>2402</t>
  </si>
  <si>
    <t>Infraestructura red vial regional</t>
  </si>
  <si>
    <t>Mejoramiento del índice de competitividad departamental por el estado de las vías terciarias en el departamento del Quindio</t>
  </si>
  <si>
    <t>Vía terciaria con mantenimiento periódico o rutinario</t>
  </si>
  <si>
    <t>Vía terciaria con mantenimiento</t>
  </si>
  <si>
    <t>Productividad, Competitividad y Medio Ambiente. “Quindío amigo de las empresas y el empleo. Quindío verde, territorio de agua, agricultura y medio ambiente”</t>
  </si>
  <si>
    <t>Ambiente y desarrollo sostenible</t>
  </si>
  <si>
    <t xml:space="preserve">Ordenamiento ambiental territorial </t>
  </si>
  <si>
    <t>Obras para estabilización de taludes</t>
  </si>
  <si>
    <t>320501000</t>
  </si>
  <si>
    <t>Obras para estabilización de taludes realizadas</t>
  </si>
  <si>
    <t>Construcción mantenimiento y/o mejoramiento de obras  de estabilización de Taludes en el Departamento del Quindío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</si>
  <si>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</si>
  <si>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</si>
  <si>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</si>
  <si>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Vivienda, ciudad y territorio</t>
  </si>
  <si>
    <t>Acceso a soluciones de vivienda</t>
  </si>
  <si>
    <t>Viviendas de Interés Social urbanas mejoradas</t>
  </si>
  <si>
    <t>Acceso de la población a los servicios de agua potable y saneamiento básico</t>
  </si>
  <si>
    <t>Documentos de planeación</t>
  </si>
  <si>
    <t>Documentos de planeación elaborados</t>
  </si>
  <si>
    <t xml:space="preserve">Implementación del plan departamental para el manejo empresarial de los servicios de agua y saneamiento básico en el Departamento del Quindío  </t>
  </si>
  <si>
    <t>Alcantarillados construidos</t>
  </si>
  <si>
    <t>Servicios de apoyo financiero para la ejecución de proyectos de acueductos y alcantarillado</t>
  </si>
  <si>
    <t>Proyectos de acueducto y alcantarillado en área urbana financiados</t>
  </si>
  <si>
    <t>Estudios de pre inversión e inversión</t>
  </si>
  <si>
    <t xml:space="preserve">Estudios o diseños realizados </t>
  </si>
  <si>
    <t>Servicios de apoyo financiero para la ejecución de proyectos de acueductos y de manejo de aguas residuales</t>
  </si>
  <si>
    <t>Proyectos de acueducto y de manejo de aguas residuales en área rural financiados</t>
  </si>
  <si>
    <t>40</t>
  </si>
  <si>
    <t>4003</t>
  </si>
  <si>
    <t>4003018</t>
  </si>
  <si>
    <t>400301800</t>
  </si>
  <si>
    <t>Desarrollo del plan Departamental para el Manejo Empresarial de los Servicios de Agua y Saneamiento PDA en el departamento del  Quindio</t>
  </si>
  <si>
    <t>4003025</t>
  </si>
  <si>
    <t>4003026</t>
  </si>
  <si>
    <t>4003042</t>
  </si>
  <si>
    <t>Mantenimiento  de la infraestructura institucional o de edificios públicos en el Departamento del Quindío</t>
  </si>
  <si>
    <t xml:space="preserve">Salón comunal adecuado </t>
  </si>
  <si>
    <t>Salones comunales adecuados</t>
  </si>
  <si>
    <t xml:space="preserve">Construcción y/o adecuación de casetas comunales en los diferentes barrios del departamento </t>
  </si>
  <si>
    <t>Salud y protección social</t>
  </si>
  <si>
    <t>Inspección, vigilancia y control</t>
  </si>
  <si>
    <t>Infraestructura de laboratorios costruida y dotada</t>
  </si>
  <si>
    <t xml:space="preserve">laboratorios construidos </t>
  </si>
  <si>
    <t>Modernización del laboratorio de salud pública departamental</t>
  </si>
  <si>
    <t>41</t>
  </si>
  <si>
    <t>4102</t>
  </si>
  <si>
    <t>Desarrollo integral de la primera infancia a la juventud, y fortalecimiento de las capacidades de las familias de niñas, niños y adolescentes</t>
  </si>
  <si>
    <t>4102027</t>
  </si>
  <si>
    <t>Centros de Atención Especializada - CAE para el restablecimiento de derechos adecuados</t>
  </si>
  <si>
    <t>410202700</t>
  </si>
  <si>
    <t>Adecuación de la infraestructura locativa para la atención especializada a jóvenes y adolescentes sancionados en el departamento del Quindio</t>
  </si>
  <si>
    <t>4104</t>
  </si>
  <si>
    <t>4104002</t>
  </si>
  <si>
    <t>Centros de protección social para el adulto mayor adecuados</t>
  </si>
  <si>
    <t>Fortalecimiento en la prestación del servicio de atención integral al adulto mayor  en el departamento del Quindío</t>
  </si>
  <si>
    <t>17</t>
  </si>
  <si>
    <t>Agricultura y desarrollo rural</t>
  </si>
  <si>
    <t>1709</t>
  </si>
  <si>
    <t>Infraestructura productiva y comercialización</t>
  </si>
  <si>
    <t>1709078</t>
  </si>
  <si>
    <t>Plaza de mercado adecuadas</t>
  </si>
  <si>
    <t>Plazas de mercado adecuadas</t>
  </si>
  <si>
    <t xml:space="preserve"> Adecuación De las plazas de mercado en el Departamento del  Quindio</t>
  </si>
  <si>
    <t>4002</t>
  </si>
  <si>
    <t>Ordenamiento territorial y desarrollo urbano</t>
  </si>
  <si>
    <t>Parques mantenidos</t>
  </si>
  <si>
    <t>Mantenimiento de las plazas principales del departamento del  Quindio</t>
  </si>
  <si>
    <t>Secretaría del Interior</t>
  </si>
  <si>
    <t>Servicio de asistencia técnica para la articulación de los operadores de los servicio de justicia</t>
  </si>
  <si>
    <t>Implementación  de acciones con los Entes Municipales para la reducción de los delitos en el Departamento del Quindío</t>
  </si>
  <si>
    <t>Secretaria del Interior</t>
  </si>
  <si>
    <t xml:space="preserve"> Promoción al acceso a la justicia</t>
  </si>
  <si>
    <t>Servicio de asistencia técnica para la articulación de los operadores de los Servicio de justicia</t>
  </si>
  <si>
    <t>120200400</t>
  </si>
  <si>
    <t>Entidades Territoriales asistidas técnicamente</t>
  </si>
  <si>
    <t>Fortalecimiento de los organismos de justicia a través de asistencias Técnicas para la disminución del delito del departamento del Quindío</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</si>
  <si>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</si>
  <si>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</si>
  <si>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</si>
  <si>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</si>
  <si>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</si>
  <si>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</si>
  <si>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</si>
  <si>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120600500</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</si>
  <si>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</si>
  <si>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</si>
  <si>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</si>
  <si>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</si>
  <si>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</si>
  <si>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 xml:space="preserve">Servicio de gestión de riesgos y desastres en establecimientos educativos </t>
  </si>
  <si>
    <t xml:space="preserve">Establecimientos educativos con acciones de gestión del riesgo implementadas </t>
  </si>
  <si>
    <t xml:space="preserve">Ampliación de la cobertura de las Instituciones Educativas con Planes Escolares de Gestión del Riesgo de Desastres PEGERD en el Departamento del Quindío </t>
  </si>
  <si>
    <t>Atención, asistencia  y reparación integral a las víctimas</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</si>
  <si>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</si>
  <si>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</si>
  <si>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</si>
  <si>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Servicio de ayuda y atención humanitaria</t>
  </si>
  <si>
    <t>Personas víctimas con ayuda humanitaria</t>
  </si>
  <si>
    <t>Servicio de asistencia técnica para la participación de las víctimas</t>
  </si>
  <si>
    <t>Eventos de participación realizados</t>
  </si>
  <si>
    <t>Servicio de apoyo para la generación de ingresos</t>
  </si>
  <si>
    <t>Hogares con asistencia técnica para la generación de ingresos</t>
  </si>
  <si>
    <t>Servicio de asistencia técnica para la realización de iniciativas de memoria histórica</t>
  </si>
  <si>
    <t>Iniciativas de memoria histórica asistidas técnicamente</t>
  </si>
  <si>
    <t>4101025</t>
  </si>
  <si>
    <t>410102500</t>
  </si>
  <si>
    <t>Personas con asistencia humanitaria</t>
  </si>
  <si>
    <t>Generación de acciones en la atención y asistencia encaminadas a la reparación de las víctimas del conflicto armado en el Quindio</t>
  </si>
  <si>
    <t>410101100</t>
  </si>
  <si>
    <t>410103800</t>
  </si>
  <si>
    <t>410107300</t>
  </si>
  <si>
    <t>410102300</t>
  </si>
  <si>
    <t xml:space="preserve">Inclusión social y productiva para la población en situación de vulnerabilidad </t>
  </si>
  <si>
    <t>Servicio de gestión de oferta social para la población vulnerable</t>
  </si>
  <si>
    <t>Beneficiarios de la oferta social atendidos</t>
  </si>
  <si>
    <t xml:space="preserve">Asistencia atención y capacitación  a la población  excombatiente en el  Departamento del Quindío </t>
  </si>
  <si>
    <t>Inclusión social y productiva para la población en situación de vulnerabilidad</t>
  </si>
  <si>
    <t xml:space="preserve">Servicio de gestión de oferta social para la población vulnerable </t>
  </si>
  <si>
    <t>410305200</t>
  </si>
  <si>
    <t xml:space="preserve">Beneficiarios potenciales para quienes se gestiona la oferta social </t>
  </si>
  <si>
    <t xml:space="preserve">Generación de acciones en la  atención y asistencia técnica encaminadas a la reparación de la  población firmante de paz residente en el Departamento del Quindío </t>
  </si>
  <si>
    <t>Fortalecimiento de la convivencia y la seguridad ciudadana</t>
  </si>
  <si>
    <t xml:space="preserve">Servicio de apoyo financiero para proyectos de convivencia y seguridad ciudadana </t>
  </si>
  <si>
    <t>Proyectos de convivencia y seguridad ciudadana apoyados financieramente</t>
  </si>
  <si>
    <t xml:space="preserve">Fortalecimiento de los organismos de seguridad del Departamento del Quindío  para mejorar la convivencia preservación del orden público y la seguridad ciudadana </t>
  </si>
  <si>
    <t>Servicio de apoyo financiero para proyectos de convivencia y seguridad ciudadana</t>
  </si>
  <si>
    <t>450102900</t>
  </si>
  <si>
    <t>Proyectos de Convivencia y Seguridad Ciudadana Apoyados Financieramente</t>
  </si>
  <si>
    <t>Fortalecimiento del apoyo financiero de los organismos de seguridad, para mejorar la convivencia, preservación del orden público y la seguridad ciudadana  en el Departamento del Quindío</t>
  </si>
  <si>
    <t>Instancias territoriales asistidas técnicamente</t>
  </si>
  <si>
    <t xml:space="preserve">Fortalecimiento institucional de la entidades municipales para la consolidación de la convivencia el orden público  y la seguridad ciudadana  en el departamento del Quindío  </t>
  </si>
  <si>
    <t>450100100</t>
  </si>
  <si>
    <t>Fortalecimiento de las instancias territoriales, para mejorar la convivencia, preservación del orden público y la seguridad ciudadana en el Departamento del Quindío</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</si>
  <si>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</si>
  <si>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</si>
  <si>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</si>
  <si>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Gestión del riesgo de desastres y emergencias</t>
  </si>
  <si>
    <t>Servicio de educación informal</t>
  </si>
  <si>
    <t>Personas capacitadas</t>
  </si>
  <si>
    <t>Fortalecimiento de la gestión del Riesgo mediante los procesos de conocimiento reducción del riesgo y manejo de desastres en el Departamento del Quindío</t>
  </si>
  <si>
    <t>Instancias territoriales asistidas</t>
  </si>
  <si>
    <t>Servicio de fortalecimiento a las salas de crisis territoriales</t>
  </si>
  <si>
    <t>450301600</t>
  </si>
  <si>
    <t xml:space="preserve">
Organismos de emergencia fortalecidos </t>
  </si>
  <si>
    <t xml:space="preserve">Ampliación de la cobertura de atención del Sistema Departamental de Gestión del Riesgo de Desastres en el Departamento del  Quindío  </t>
  </si>
  <si>
    <t>4503</t>
  </si>
  <si>
    <t>Obras de infraestructura para la reducción del riesgo de desastres</t>
  </si>
  <si>
    <t xml:space="preserve">
Obras de infraestructura para la reducción del riesgo de desastres realizadas</t>
  </si>
  <si>
    <t>450300200</t>
  </si>
  <si>
    <t>Servicios de apoyo para atención de  población afectada por situaciones de emergencia, desastre o declaratorias de calamidad pública</t>
  </si>
  <si>
    <t>450302800</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</si>
  <si>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</si>
  <si>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</si>
  <si>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</si>
  <si>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4502024</t>
  </si>
  <si>
    <t>450202400</t>
  </si>
  <si>
    <t xml:space="preserve">Fortalecimiento de la capacidad institucional de los actores sociales en la consolidación de acciones conjuntas y sostenibles, que prevengan, promuevan y protejan los derechos humanos y el derecho en el Departamento del Quindío 						</t>
  </si>
  <si>
    <t xml:space="preserve">Fortalecimiento de la participación ciudadana veedurías y organizaciones comunales para el cumplimiento protección y restablecimiento de los derechos contemplados en la Constitución Política    </t>
  </si>
  <si>
    <t>Estrategia de acompañamiento sobre capacidades democráticas y organizativas  implementada</t>
  </si>
  <si>
    <t xml:space="preserve">Iniciativas organizativas de participación ciudadana promovidas </t>
  </si>
  <si>
    <t xml:space="preserve">Documentos de planeación </t>
  </si>
  <si>
    <t xml:space="preserve">Planes estratégicos elaborados </t>
  </si>
  <si>
    <t>450200111</t>
  </si>
  <si>
    <t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t>
  </si>
  <si>
    <t>450203501</t>
  </si>
  <si>
    <t>4502001</t>
  </si>
  <si>
    <t>4599019</t>
  </si>
  <si>
    <t>459901900</t>
  </si>
  <si>
    <t>Documentos de planeación realizados</t>
  </si>
  <si>
    <t xml:space="preserve">Fortalecimiento de las políticas públicas en el departamento del Quindío 						
</t>
  </si>
  <si>
    <t>Secretaría de Cultura</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</si>
  <si>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</si>
  <si>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</si>
  <si>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Secretario de Cultura</t>
  </si>
  <si>
    <t>Servicios bibliotecarios</t>
  </si>
  <si>
    <t>330108500</t>
  </si>
  <si>
    <t>Usuarios atendidos</t>
  </si>
  <si>
    <t xml:space="preserve">Implementación del programa "Tú y Yo Somos Cultura", para el fortalecimiento a la lectura,  escritura  y bibliotecas en el Departamento del Quindío   </t>
  </si>
  <si>
    <t>Servicio de divulgación y publicaciones</t>
  </si>
  <si>
    <t>330110000</t>
  </si>
  <si>
    <t>Publicaciones realizadas</t>
  </si>
  <si>
    <t xml:space="preserve"> Servicio de educación informal en áreas artísticas y culturales</t>
  </si>
  <si>
    <t>Fortalecimiento de los espacios convencionales y no convencionales que garanticen el acceso a la lectura, escritura y oralidad en el departamento del Quindío</t>
  </si>
  <si>
    <t xml:space="preserve"> Usuarios atendidos</t>
  </si>
  <si>
    <t xml:space="preserve">Infraestructuras culturales dotadas </t>
  </si>
  <si>
    <t xml:space="preserve"> Infrestructuras culturales dotadas</t>
  </si>
  <si>
    <t xml:space="preserve"> Publicaciones realizadas</t>
  </si>
  <si>
    <t>Servicio de circulación artística y cultural</t>
  </si>
  <si>
    <t>Producciones artísticas en circulación</t>
  </si>
  <si>
    <t xml:space="preserve"> Servicio de circulación artística y cultural </t>
  </si>
  <si>
    <t>Contenidos culturales  en circulación</t>
  </si>
  <si>
    <t>Fortalecimiento de la formación del arte y la cultura para la construcción de la paz en el Departamento del Quindío.</t>
  </si>
  <si>
    <t xml:space="preserve">Servicio de promoción de actividades culturales </t>
  </si>
  <si>
    <t>Eventos de promoción de actividades culturales realizados</t>
  </si>
  <si>
    <t xml:space="preserve"> Servicio de educación informal al sector artístico y cultural</t>
  </si>
  <si>
    <t xml:space="preserve"> Personas capacitadas</t>
  </si>
  <si>
    <t xml:space="preserve">Servicio de apoyo financiero al sector artístico y cultural </t>
  </si>
  <si>
    <t xml:space="preserve"> Estímulos otorgados</t>
  </si>
  <si>
    <t xml:space="preserve">Documentos de lineamientos técnicos </t>
  </si>
  <si>
    <t xml:space="preserve"> Documentos de lineamientos técnicos</t>
  </si>
  <si>
    <t xml:space="preserve"> Documentos de lineamientos técnicos realizados</t>
  </si>
  <si>
    <t>Fortalecimiento de la gobernanza cultural en el Quindío</t>
  </si>
  <si>
    <t>Servicio de información para el sector artístico y cultural</t>
  </si>
  <si>
    <t>Sistema de información del sector artístico y cultural en operación</t>
  </si>
  <si>
    <t xml:space="preserve"> Servicio de asistencia técnica en procesos de comunicación cultural</t>
  </si>
  <si>
    <t>Asistencias técnicas a los procesos de comunicación cultural realizadas</t>
  </si>
  <si>
    <t>Servicio de apoyo para la organización y la participación del sector artístico, cultural y la ciudadanía</t>
  </si>
  <si>
    <t xml:space="preserve"> Encuentros realizados</t>
  </si>
  <si>
    <t xml:space="preserve"> Documentos normativos</t>
  </si>
  <si>
    <t xml:space="preserve"> Documentos normativos realizados</t>
  </si>
  <si>
    <t>Gestión, protección y salvaguardia del patrimonio cultural colombiano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</si>
  <si>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</si>
  <si>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</si>
  <si>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</si>
  <si>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</si>
  <si>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Servicio de divulgación y publicación del Patrimonio cultural</t>
  </si>
  <si>
    <t>330207000</t>
  </si>
  <si>
    <t>Servicio de asistencia técnica en el manejo y gestión del patrimonio arqueológico, antropológico e histórico</t>
  </si>
  <si>
    <t xml:space="preserve"> Asistencias técnicas realizadas a entidades territoriales</t>
  </si>
  <si>
    <t>Apoyo a actividades que reconozcan la Diversidad, fomenten el Diálogo Cultural, los Saberes y la Memoria para la sostenibilidad del Patrimonio Cultural del Quindío</t>
  </si>
  <si>
    <t xml:space="preserve"> Servicio de divulgación y publicación del patrimonio cultural</t>
  </si>
  <si>
    <t xml:space="preserve"> Servicio de educación informal en asuntos patrimoniales</t>
  </si>
  <si>
    <t>Capacitaciones realizadas</t>
  </si>
  <si>
    <t>Apoyo a actividades que reconozcan la diversidad, fomenten el diálogo cultural, los saberes y la memoria para la sostenibilidad del Patrimonio Cultural del Quindío</t>
  </si>
  <si>
    <t xml:space="preserve"> Documentos de lineamientos técnicos </t>
  </si>
  <si>
    <t>Secretaría de Turismo Industria y Comercio</t>
  </si>
  <si>
    <t>Productividad y Competitividad</t>
  </si>
  <si>
    <t>Comercio, industria y turismo</t>
  </si>
  <si>
    <t xml:space="preserve">Productividad y competitividad de las empresas colombianas </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</si>
  <si>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</si>
  <si>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</si>
  <si>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</si>
  <si>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</si>
  <si>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Secretario de Turismo, Industria y Comercio</t>
  </si>
  <si>
    <t>Servicio de asistencia técnica para el desarrollo de iniciativas Clústeres</t>
  </si>
  <si>
    <t>Clústeres asistidos en la implementación de los planes de acción</t>
  </si>
  <si>
    <t>Planes de trabajo concertados con las CRC para su consolidación</t>
  </si>
  <si>
    <t>Asistencia para fomentar el desarrollo la competitividad y productividad empresarial en el departamento del Quindío</t>
  </si>
  <si>
    <t>Servicio de asistencia técnica para el desarrollo de iniciativas clústeres</t>
  </si>
  <si>
    <t>Servicio de información sobre el sector artesanal</t>
  </si>
  <si>
    <t>Sistemas de información actualizados</t>
  </si>
  <si>
    <t>Servicio de asistencia técnica a los entes territoriales para el desarrollo turístico</t>
  </si>
  <si>
    <t>350203900</t>
  </si>
  <si>
    <t>Mejoramiento de la competitividad del  departamento como destino turístico  sostenible y de calidad .</t>
  </si>
  <si>
    <t>Desarrollo de lineamientos del Plan Estratégico de Turismo (PET) fomentando la práctica responsable y competitiva del sector en el departamento del Quindío</t>
  </si>
  <si>
    <t>Proyectos de infraestructura turística apoyados</t>
  </si>
  <si>
    <t>Servicios de apoyo para el fomento de capacidades en economía circulary sostenibilidad</t>
  </si>
  <si>
    <t>Empresas intervenidas en temas de economía circular y sostenibilidad</t>
  </si>
  <si>
    <t>Servicio de promoción turística</t>
  </si>
  <si>
    <t>350204600</t>
  </si>
  <si>
    <t>Campañas realizadas</t>
  </si>
  <si>
    <t xml:space="preserve">Fortalecimiento de la promoción turística del destino Quindío a nivel  nacional e internacional </t>
  </si>
  <si>
    <t>Optimización en la difusión y promoción de la marca "Quindío corazón de Colombia" siguiendo los lineamientos del Plan Estratégico de Turismo (PET) Quindío</t>
  </si>
  <si>
    <t>Productividad y competitividad de las empresas colombianas</t>
  </si>
  <si>
    <t>Eventos de promoción realizados</t>
  </si>
  <si>
    <t>Trabajo</t>
  </si>
  <si>
    <t>Generación y formalización del empleo</t>
  </si>
  <si>
    <t>Servicios de apoyo financiero para la creación de empresas</t>
  </si>
  <si>
    <t>360201800</t>
  </si>
  <si>
    <t>Planes de negocio financiados</t>
  </si>
  <si>
    <t>Apoyo a la generación y formalización del empleo en el departamento del Quindío</t>
  </si>
  <si>
    <t>Servicio de asesoría técnica para el emprendimiento.</t>
  </si>
  <si>
    <t>360203201</t>
  </si>
  <si>
    <t>Emprendimientos fortalecidos</t>
  </si>
  <si>
    <t>Fortalecimiento, implementación y articulación del ecosistema del emprendimiento y del sector trabajo en el departamento del Quindío</t>
  </si>
  <si>
    <t>Servicio de asesoría técnica para el emprendimiento</t>
  </si>
  <si>
    <t>Emprendimientos asesorados</t>
  </si>
  <si>
    <t>Servicio de orientación laboral</t>
  </si>
  <si>
    <t>Personas orientadas laboralmente</t>
  </si>
  <si>
    <t>Ciencia, tecnología e innovación</t>
  </si>
  <si>
    <t>Fomento a vocaciones y formación, generación, uso y apropiación social del conocimiento de la ciencia, tecnología e innovación</t>
  </si>
  <si>
    <t>Servicio de Asistencia Técnica</t>
  </si>
  <si>
    <t>Asistencias Técnicas Realizadas</t>
  </si>
  <si>
    <t>Contribución al índice de ciencia, tecnología e innovación que promueva la innovación empresarial, el emprendimiento en el departamento del Quindío</t>
  </si>
  <si>
    <t>Fortalecimiento al seguimiento de planes y políticas públicas para la gobernanza local sostenible del Quindío</t>
  </si>
  <si>
    <t>Secretaría de Agricultura Desarrollo Rural y Medio Ambiente</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</si>
  <si>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</si>
  <si>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</si>
  <si>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</si>
  <si>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</si>
  <si>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</si>
  <si>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Secretario de Agricultura, Desarrollo Rural y Medio Ambiente</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</si>
  <si>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</si>
  <si>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</si>
  <si>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</si>
  <si>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</si>
  <si>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</si>
  <si>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</si>
  <si>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Fortalecimiento de la asociatividad y el emprendimiento rural en el Departamento del Quindío</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</si>
  <si>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</si>
  <si>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</si>
  <si>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</si>
  <si>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</si>
  <si>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170203801</t>
  </si>
  <si>
    <t>Productores apoyados para la participación en mercados campesinos</t>
  </si>
  <si>
    <t>Fortalecimiento de procesos de mercadeo y comercialización agropecuaria en el Departamento del Quindío</t>
  </si>
  <si>
    <t>170202301</t>
  </si>
  <si>
    <t>Planes de Desarrollo Agropecuario y Rural elaborados</t>
  </si>
  <si>
    <t>Implementación de procesos de extensión agropecuaria e inocuidad (estatus sanitario, BPA, BPG) alimentaria; en el Departamento del Quindío</t>
  </si>
  <si>
    <t xml:space="preserve">Productividad, Competitividad y Medio Ambiente. “Quindío amigo de las empresas y el empleo. Quindío verde, territorio de agua, agricultura y medio ambiente” </t>
  </si>
  <si>
    <t>Servicios de acompañamiento en la implementación de planes de desarrollo agropecuario y rural</t>
  </si>
  <si>
    <t>170202400</t>
  </si>
  <si>
    <t>Planes de Desarrollo Agropecuario y Rural acompañados</t>
  </si>
  <si>
    <t>Fortalecimiento de procesos de extensión agropecuaria para la agricultura familiar campesina del departamentod del Quindio</t>
  </si>
  <si>
    <t xml:space="preserve">Documentos de evaluación elaborados </t>
  </si>
  <si>
    <t>Servicios de acompañamiento en la implementaciónde Planes de desarrollo agropecuario y rural</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</si>
  <si>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</si>
  <si>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</si>
  <si>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</si>
  <si>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</si>
  <si>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Servicio de apoyo en la formulación y estructuración de proyectos de Desarrollo Rural e inclusión productiva campesina en el Departamento del Quindío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</si>
  <si>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</si>
  <si>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</si>
  <si>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</si>
  <si>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</si>
  <si>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</si>
  <si>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 xml:space="preserve"> Servicios financieros y gestión del riesgo para las actividades agropecuarias y rurales</t>
  </si>
  <si>
    <t>Fortalecimiento de procesos para la prevención y mitigación de riesgos naturales del sector agropecuario en el Departamento del Quindío.</t>
  </si>
  <si>
    <t>Ordenamiento social y uso productivo del territorio rural</t>
  </si>
  <si>
    <t>Participaciones en ferias nacionales e internacionales</t>
  </si>
  <si>
    <t>Agricultura y esarrollo rural</t>
  </si>
  <si>
    <t xml:space="preserve"> Aprovechamiento de mercados externos</t>
  </si>
  <si>
    <t>Servicio de apoyo financiero para la participación en Ferias nacionales e internacionales</t>
  </si>
  <si>
    <t>Apoyo institucional a eventos y ferias para la competitividad productiva y empresarial del sector rural en el Departamento del Quindío</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</si>
  <si>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</si>
  <si>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</si>
  <si>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</si>
  <si>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</si>
  <si>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</si>
  <si>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Sanidad agropecuaria e inocuidad agroalimentaria</t>
  </si>
  <si>
    <t>Apoyo a procesos de sanidad e inocuidad alimentaria en el departamento del Quindío</t>
  </si>
  <si>
    <t>Ciencia, tecnología e innovación agropecuaria</t>
  </si>
  <si>
    <t>170801600</t>
  </si>
  <si>
    <t>Documentos de lineamientos técnicos elaborados</t>
  </si>
  <si>
    <t xml:space="preserve"> Implementación de procesos de innovación, ciencia y tecnología agropecuario en el Departamento del Quindío  </t>
  </si>
  <si>
    <t>Servicio de información actualizado</t>
  </si>
  <si>
    <t>170805100</t>
  </si>
  <si>
    <t>Fortalecimiento de procesos de innovación, ciencia y tecnología agropecuaria del Departamento del Quindío</t>
  </si>
  <si>
    <t>Servicio de divulgación de transferencia de tecnología</t>
  </si>
  <si>
    <t>Productores beneficiados con transferencia de tecnología</t>
  </si>
  <si>
    <t>Fortalecimiento de procesos de innovación, ciencia y tecnología agropecuaria en el Departamento del Quindío</t>
  </si>
  <si>
    <t>Infraestructura para la transformación de productos agropecuarios adecuada</t>
  </si>
  <si>
    <t xml:space="preserve">Implementación de procesos de transformación agroindustrial integral de productos agropecuarios en el Departamento del Quindío </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</si>
  <si>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</si>
  <si>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</si>
  <si>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</si>
  <si>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</si>
  <si>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350200700</t>
  </si>
  <si>
    <t>Apoyo a iniciativas clúster y a nuevos emprendimientos de las cadenas promisorias agropecuarias en el Departamento del Quindío</t>
  </si>
  <si>
    <t>3502017</t>
  </si>
  <si>
    <t>Empresas asistidas técnicamente</t>
  </si>
  <si>
    <t>3201</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</si>
  <si>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</si>
  <si>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</si>
  <si>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</si>
  <si>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</si>
  <si>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</si>
  <si>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Servicio de vigilancia de la calidad del aire</t>
  </si>
  <si>
    <t>320100805</t>
  </si>
  <si>
    <t>Campaña de monitoreo de calidad del aire realizadas</t>
  </si>
  <si>
    <t>3201008</t>
  </si>
  <si>
    <t>Apoyo a los procesos de Gestión Ambiental Urbana y Rural para la protección del Paisaje y la Biodiversidad Quindío</t>
  </si>
  <si>
    <t>3201013</t>
  </si>
  <si>
    <t>Documento de lineamientos técnicos para mejorar la calidad ambiental de las áreas urbanas</t>
  </si>
  <si>
    <t>Documento de lineamientos técnicos para  mejorar la calidad ambiental de las áreas urbanas elaborados</t>
  </si>
  <si>
    <t>Conservación de la biodiversidad y sus servicios ecosistémicos</t>
  </si>
  <si>
    <t>Servicio de recuperación de cuerpos de agua lénticos y lóticos</t>
  </si>
  <si>
    <t xml:space="preserve">Generación y desarrollo de acciones para la conservación de las áreas de importancia estratégica hídrica en el Departamento del Quindío </t>
  </si>
  <si>
    <t>Extensión de cuerpos de agua recuperados</t>
  </si>
  <si>
    <t>Servicio apoyo financiero para la implementación de esquemas de pago por Servicios ambientales</t>
  </si>
  <si>
    <t xml:space="preserve">Áreas con esquemas de pago por Servicios Ambientales implementados </t>
  </si>
  <si>
    <t>3202</t>
  </si>
  <si>
    <t>3202037</t>
  </si>
  <si>
    <t>320203700</t>
  </si>
  <si>
    <t xml:space="preserve">Extensión de cuerpos de agua recuperados </t>
  </si>
  <si>
    <t>Apoyo a las acciones para la conservación de las áreas de importancia estratégica hídrica en el Departamento del Quindío</t>
  </si>
  <si>
    <t>3202043</t>
  </si>
  <si>
    <t>Servicio apoyo financiero para la implementación de esquemas de pago por Servicio ambientales</t>
  </si>
  <si>
    <t>3202047</t>
  </si>
  <si>
    <t>Servicio de administración y manejo de áreas protegidas locales no vinculadas al Sistema Nacional de Áreas Protegidas</t>
  </si>
  <si>
    <t>320204700</t>
  </si>
  <si>
    <t>Areas  Administradas</t>
  </si>
  <si>
    <t>Servicio de restauración de ecosistemas</t>
  </si>
  <si>
    <t>Áreas en proceso de restauración</t>
  </si>
  <si>
    <t>3202006</t>
  </si>
  <si>
    <t>Servicio de reforestación de ecosistemas</t>
  </si>
  <si>
    <t>Plantaciones forestales aisladas</t>
  </si>
  <si>
    <t>Servicio de educación informal en el marco de la conservación de la biodiversidad y los Servicio ecosistémicos</t>
  </si>
  <si>
    <t>Talleres realizados</t>
  </si>
  <si>
    <t xml:space="preserve">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</si>
  <si>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</si>
  <si>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3204</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</si>
  <si>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</si>
  <si>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</si>
  <si>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</si>
  <si>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</si>
  <si>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</si>
  <si>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Servicio de asistencia técnica para la consolidación de negocios verdes</t>
  </si>
  <si>
    <t xml:space="preserve">Negocios verdes consolidados </t>
  </si>
  <si>
    <t>Apoyo a nuevos modelos para la consolidación de negocios verdes en el Departamento del Quindío</t>
  </si>
  <si>
    <t>Barreras rompe vientos recuperadas</t>
  </si>
  <si>
    <t>320500900</t>
  </si>
  <si>
    <t>Barreras rompe vientos</t>
  </si>
  <si>
    <t>Implementación de un programa  de protección del  patrimonio ambiental  en paisaje la biodiversidad y sus servicios ecosistémicos en el Departamento de  Quindio</t>
  </si>
  <si>
    <t>Ordenamiento ambiental territorial</t>
  </si>
  <si>
    <t>3205009</t>
  </si>
  <si>
    <t>Apoyo al programa  de protección del  patrimonio ambiental , en paisaje, la biodiversidad y sus servicios ecosistémicos en el Departamento del Quindío</t>
  </si>
  <si>
    <t>3205010</t>
  </si>
  <si>
    <t>3206</t>
  </si>
  <si>
    <t>Gestión del cambio climático para un desarrollo bajo en carbono y resiliente al clima</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</si>
  <si>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</si>
  <si>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</si>
  <si>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</si>
  <si>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</si>
  <si>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Servicio de producción de plántulas en viveros</t>
  </si>
  <si>
    <t>320601400</t>
  </si>
  <si>
    <t>Plántulas producidas</t>
  </si>
  <si>
    <t>3206015</t>
  </si>
  <si>
    <t>Estufas ecoeficientes</t>
  </si>
  <si>
    <t>320601500</t>
  </si>
  <si>
    <t>Estufas ecoeficientes instaladas y en operación</t>
  </si>
  <si>
    <t>3206016</t>
  </si>
  <si>
    <t>Estufa ecoeficiente fija</t>
  </si>
  <si>
    <t>Estufas ecoeficientes fijas construidas</t>
  </si>
  <si>
    <t>Apoyo a acciones de Gestión del Cambio Climático en el marco del PIGCC, en el Departamento del Quindío</t>
  </si>
  <si>
    <t>3206005</t>
  </si>
  <si>
    <t>3206014</t>
  </si>
  <si>
    <t>Servicio de apoyo técnico para la implementación de acciones de mitigación y adaptación al cambio climático</t>
  </si>
  <si>
    <t>Pilotos con acciones de mitigación y adaptación al cambio climático desarrollados</t>
  </si>
  <si>
    <t xml:space="preserve">Educación ambiental </t>
  </si>
  <si>
    <t>3208010</t>
  </si>
  <si>
    <t>Servicio de educación informal ambiental</t>
  </si>
  <si>
    <t>Apoyo a campañas de sensibilización y apropiación del patrimonio ambiental del paisaje, la biodiversidad y sus servicios ecosistémicos en el Departamento del Quindío</t>
  </si>
  <si>
    <t>4501048</t>
  </si>
  <si>
    <t>Servicio de apoyo para el acceso a la justicia policiva</t>
  </si>
  <si>
    <t>450104800</t>
  </si>
  <si>
    <t>Estrategias implementadas</t>
  </si>
  <si>
    <t>Implementación y articulación de la ruta integral de atención para la protección y bienestar animal en el Departamento del Quindío</t>
  </si>
  <si>
    <t>4501049</t>
  </si>
  <si>
    <t>Servicio de atención integral a la fauna</t>
  </si>
  <si>
    <t>Animales atendidos</t>
  </si>
  <si>
    <t>Infraestructura para el bienestar animal adecuada</t>
  </si>
  <si>
    <t>Servicio de apoyo financiero para la atención integral de animales</t>
  </si>
  <si>
    <t>450106300</t>
  </si>
  <si>
    <t>Prestadores del servicio de atención integral de animales apoyados</t>
  </si>
  <si>
    <t>Servicio de información para la planificación agropecuaria</t>
  </si>
  <si>
    <t>Información actualizada</t>
  </si>
  <si>
    <t>Fortalecimiento de procesos de ordenamiento productivo y social territorial en el Departamento del Quindío</t>
  </si>
  <si>
    <t>Secretaría Privada</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</si>
  <si>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</si>
  <si>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</si>
  <si>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Secretario Privada</t>
  </si>
  <si>
    <t xml:space="preserve">Fortalecimiento de la Política de Transparencia, acceso a la Información Pública y Lucha contra la Corrupción integrada del Modelo de Planificación y Gestión (MIPG) en la Administración Departamental del   Quindio </t>
  </si>
  <si>
    <t>Desarrollo e implementación de  una estrategia  de comunicaciones  de la gestión institucional  de la Administración Departamental del Quindío "Hacia un  gobierno abierto".</t>
  </si>
  <si>
    <t>459902900</t>
  </si>
  <si>
    <t>Aplicación de la Ley de transparencia y del derecho de acceso a la información pública nacional a las estrategias de comunicación y oferta publica en el departamento Quindío</t>
  </si>
  <si>
    <t>Fortalecimiento de  las capacidades institucionales de la administración departamental del Quindío, para generar condiciones de gobernanza territorial, participación, administración eficiente y transparente.</t>
  </si>
  <si>
    <t>Fortalecimiento de las habilidades institucionales de la administración departamental, a través de espacios de participación ciudadana, gestión eficaz y transparente en el departamento del Quindío.</t>
  </si>
  <si>
    <t>Secretaría de Educación</t>
  </si>
  <si>
    <t>Servicio educación formal por modelos educativos flexibles</t>
  </si>
  <si>
    <t>Beneficiarios atendidos con modelos educativos flexibles</t>
  </si>
  <si>
    <t>Fortalecimiento de Estrategias de Acceso, Bienestar y Permanencia en el Sector Educativo del Departamento del Quindío</t>
  </si>
  <si>
    <t>Secretaria de Educación</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</si>
  <si>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</si>
  <si>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</si>
  <si>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</si>
  <si>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</si>
  <si>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</si>
  <si>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</si>
  <si>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educativa dotada</t>
  </si>
  <si>
    <t>Sedes dotadas</t>
  </si>
  <si>
    <t>Servicio de fomento para el acceso a la educación inicial, preescolar, básica y media</t>
  </si>
  <si>
    <t>Personas beneficiadas con estrategias de fomento para el acceso a la educación inicial, preescolar, básica y media</t>
  </si>
  <si>
    <t>Fortalecimiento en la oferta, el acceso y permanencia escolar en la educación inicial, preescolar, básica y media en el departamento del Quindío</t>
  </si>
  <si>
    <t>Raciones contratatadas</t>
  </si>
  <si>
    <t>Servicio de alfabetización</t>
  </si>
  <si>
    <t>Personas beneficiarias con modelos de alfabetización</t>
  </si>
  <si>
    <t>Servicio de apoyo para la implementación de la estrategia educativa del sistema de responsabilidad penal adolescente</t>
  </si>
  <si>
    <t>Estrategias de protección para el restablecimiento de derechos implementadas</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</si>
  <si>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</si>
  <si>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</si>
  <si>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</si>
  <si>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</si>
  <si>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</si>
  <si>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</si>
  <si>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2201060</t>
  </si>
  <si>
    <t>Servicio educativo de promoción del bilingüismo para docentes</t>
  </si>
  <si>
    <t>Docentes beneficiados con estrategias de promoción del bilingüismo</t>
  </si>
  <si>
    <t>Fortalecimiento institucional que consolide la calidad educativa con inclusión y equidad como estrategia de permanencia en la educación inicial preescolar, básica y media en el departamento del Quindío</t>
  </si>
  <si>
    <t>Servicio educativo de promoción del bilingüismo</t>
  </si>
  <si>
    <t>Estudiantes beneficiados con estrategias de promoción del bilingüismo</t>
  </si>
  <si>
    <t>Instituciones educativas oficiales que implementan el nivel preescolar en el marco de la atención integral</t>
  </si>
  <si>
    <t>Servicios de apoyo a la implementación de modelos de innovación educativa</t>
  </si>
  <si>
    <t>Establecimientos educativos apoyados para la implementación de modelos de innovación educativa</t>
  </si>
  <si>
    <t>Servicio de accesibilidad a contenidos web para fines pedagógicos</t>
  </si>
  <si>
    <t>Estudiantes con acceso a contenidos web en el establecimiento educativo</t>
  </si>
  <si>
    <t>Servicio de fomento para la prevención de riesgos sociales en entornos escolares</t>
  </si>
  <si>
    <t>Entidades territoriales con estrategias para la prevención de riesgos sociales en los entornos escolares implementadas</t>
  </si>
  <si>
    <t>Servicio de fortalecimiento a las capacidades de los docentes de educación Inicial, preescolar, básica y media</t>
  </si>
  <si>
    <t>Docentes y agentes educativos de educación inicial, preescolar, básica y media beneficiados con estrategias de mejoramiento de sus capacidades</t>
  </si>
  <si>
    <t>Servicio de apoyo a la atención integral para la convivencia escolar</t>
  </si>
  <si>
    <t>Sedes educativas apoyadas en la implementación de la ruta de atención integral para la convivencia escolar</t>
  </si>
  <si>
    <t>Servicio educativo</t>
  </si>
  <si>
    <t>Establecimientos educativos en operación</t>
  </si>
  <si>
    <t>Fortalecimiento institucional para una gestión educativa integral en el departamento del Quindío</t>
  </si>
  <si>
    <t>Establecimientos educativos conectados a internet</t>
  </si>
  <si>
    <t>Fortalecimiento de las  Tecnologías de Información y Comunicación TIC,  para una innovación educativa de calidad en el departamento del Quindío.</t>
  </si>
  <si>
    <t xml:space="preserve">Calidad y fomento de la educación superior </t>
  </si>
  <si>
    <t>Servicio de apoyo para el acceso y la permanencia a la educación superior o terciaria</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</si>
  <si>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</si>
  <si>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</si>
  <si>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Calidad y fomento de la educación superior</t>
  </si>
  <si>
    <t>Servicio de apoyo financiero para el acceso y permanencia a la educación superior</t>
  </si>
  <si>
    <t>Beneficiarios de estrategias o programas de apoyo financiero para el acceso y la permanencia en la educación superior</t>
  </si>
  <si>
    <t>Fortalecimiento de la cobertura educativa en la educación superior con más acceso y permanencia del departamento del Quindío</t>
  </si>
  <si>
    <t>Documentos de estudios técnicos</t>
  </si>
  <si>
    <t>Documentos de estudios técnicos realizados</t>
  </si>
  <si>
    <t>Fortalecimiento de la gestión de la información del sector educativo en el departamento del Quindío</t>
  </si>
  <si>
    <t>Secretaría de Familia</t>
  </si>
  <si>
    <t xml:space="preserve">Salud pública </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</si>
  <si>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</si>
  <si>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</si>
  <si>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</si>
  <si>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Secretaria de Familia</t>
  </si>
  <si>
    <t xml:space="preserve">Servicio de gestión del riesgo en temas de trastornos mentales </t>
  </si>
  <si>
    <t>Campañas de gestión del riesgo en temas de trastornos mentales implementadas</t>
  </si>
  <si>
    <t>19</t>
  </si>
  <si>
    <t>Salud Pública</t>
  </si>
  <si>
    <t>Servicio de gestión del riesgo en temas de salud sexual y reproductiva</t>
  </si>
  <si>
    <t>Campañas de gestión del riesgo en temas de salud sexual y reproductiva implementadas</t>
  </si>
  <si>
    <t>Diseño de estrategías para la promoción de la vida y prevención del consumo de sustancias psicoactivas en el Departamento del Quindío.</t>
  </si>
  <si>
    <t>Servicio de gestión del riesgo en temas de trastornos mentales</t>
  </si>
  <si>
    <t>4102043</t>
  </si>
  <si>
    <t xml:space="preserve">Servicio de promoción de temas de dinámica relacional y desarrollo autónomo </t>
  </si>
  <si>
    <t>410204300</t>
  </si>
  <si>
    <t>Familias atendidas</t>
  </si>
  <si>
    <t xml:space="preserve"> Implementación de la  política pública  de Familia para la  promoción  del desarrollo integral de la población del Departamento del Quindío. </t>
  </si>
  <si>
    <t>Servicio de promoción de temas de dinámica relacional y desarrollo autónomo</t>
  </si>
  <si>
    <t>Niños, niñas y adolescentes atendidos</t>
  </si>
  <si>
    <t xml:space="preserve">Revisión, ajuste  e implementación de  la política pública de primera infancia, infancia y adolescencia en el Departamento del Quindío  </t>
  </si>
  <si>
    <t>Servicio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</si>
  <si>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</si>
  <si>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Implementación de  la política pública de juventud en el Departamento del Quindío  </t>
  </si>
  <si>
    <t>Servicio de asistencia técnica a comunidades en temas de fortalecimiento del tejido social y construcción de escenarios comunitarios protectores de derechos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</si>
  <si>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</si>
  <si>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</si>
  <si>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Desarrollo integral de la primera infancia a la juventud, y fortalecimiento de las capacidades de las familias de niñas, niños y adolescentes </t>
  </si>
  <si>
    <t>Implementación de la Política Pública para la protección, el fortalecimiento y desarrollo integral de la Familia Quindiana  2019-2029, en el departamento del Quindío</t>
  </si>
  <si>
    <t>Servicio de atención integral a la primera infancia</t>
  </si>
  <si>
    <t>Niños y niñas atendidos en Servicio integrales</t>
  </si>
  <si>
    <t xml:space="preserve">
Fortalecimiento del desarrollo integral  de los niños niñas, adolescentes y familias para la garantía, atención y promoción de sus derechos en el departamento del Quindío</t>
  </si>
  <si>
    <t>4102006</t>
  </si>
  <si>
    <t>Edificaciones de atención a la primera infancia dotadas</t>
  </si>
  <si>
    <t>Edificaciones  de atención a la primera infancia dotadas</t>
  </si>
  <si>
    <t>Servicios de promoción de los derechos de los niños, niñas, adolescentes y jóvenes</t>
  </si>
  <si>
    <t>Campañas de promoción realizadas</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</si>
  <si>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</si>
  <si>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</si>
  <si>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4102038</t>
  </si>
  <si>
    <t>Niños, niñas, adolescentes y jóvenes atendidios en los servicios de restablecimiento en la administración de justicia</t>
  </si>
  <si>
    <t>Servicio con enfoque pedagógico y restaurativo dirigidos a la atención de niños, niñas, adolescentes y jóvenes vinculados al sistema de responsabilidad penal para adolescentes en el departamento del Quindío</t>
  </si>
  <si>
    <t>4102028</t>
  </si>
  <si>
    <t>Centros de Atención Especializada - CAE para el restablecimiento de derechos dotados</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</si>
  <si>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</si>
  <si>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</si>
  <si>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</si>
  <si>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 xml:space="preserve">mecanismos de articulación implementados para la gestión de oferta social </t>
  </si>
  <si>
    <t xml:space="preserve">Formulación  e Implementación del  programa departamental para atención al ciudadano migrante y de repatriación.  </t>
  </si>
  <si>
    <t>4103</t>
  </si>
  <si>
    <t>Mecanismos de articulación implementados para la gestión de oferta social</t>
  </si>
  <si>
    <t>Fortalecimiento a la garantía de derechos de la población migrante, refugiada y colombianos retornados en el departamento del Quindío</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</si>
  <si>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</si>
  <si>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</si>
  <si>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</si>
  <si>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Comunidades con acompañamiento familiar</t>
  </si>
  <si>
    <t>Fortalecimiento de unidades productivas individuales y familiares de población vulnerable para la inclusión social y productiva en el departamento del Quindío.</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</si>
  <si>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</si>
  <si>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</si>
  <si>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</si>
  <si>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Documento de lineamientos técnicos</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</si>
  <si>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</si>
  <si>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</si>
  <si>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 xml:space="preserve">Fortalecimiento a las comunidades indigenas en la elaboración, formulación y/o actualización de los planes de vida en el departamento del Quindío </t>
  </si>
  <si>
    <t xml:space="preserve">Mecanismos de articulación implementados para la gestión de oferta social </t>
  </si>
  <si>
    <t xml:space="preserve">Formulación e implementación de la política pública para la comunidad negra, afrocolombiana, raizal y palenquera residente en el Departamento del Quindío   </t>
  </si>
  <si>
    <t>Implementación de la "Política Pública para las comunidades Negras, Afrocolombianas, Raizales y Palenqueras residentes en el departamento del Quindío 2020-2030"</t>
  </si>
  <si>
    <t>Servicio de atención integral a población en condición de discapacidad</t>
  </si>
  <si>
    <t>Personas con discapacidad atendidas con servicios integrales</t>
  </si>
  <si>
    <t xml:space="preserve">Servicio de atención integral a población en condición de discapacidad en los municipios del Departamento del Quindío "TU Y YO JUNTOS EN LA INCLUSIÓN". </t>
  </si>
  <si>
    <t>Servicios de atención integral a la población con discapacidad  en el departamento del Quindío.</t>
  </si>
  <si>
    <t xml:space="preserve">Servicio de atención integral al habitante de la calle </t>
  </si>
  <si>
    <t>Personas atendidas con servicios integrales</t>
  </si>
  <si>
    <t xml:space="preserve">Apoyo en  la articulación de la  oferta social para la población habitante de calle del departamento del Quindío  </t>
  </si>
  <si>
    <t>Servicio de atención integral al habitante de la calle</t>
  </si>
  <si>
    <t xml:space="preserve">Personas atendidas con  servicios integrales </t>
  </si>
  <si>
    <t xml:space="preserve">Asistencia a la población habitante de calle mediante la articulación de servicios de oferta institucional  en el departamento del Quindío </t>
  </si>
  <si>
    <t>Centros de protección social de día para el adulto mayor construidos y dotados</t>
  </si>
  <si>
    <t>Centros de día para el adulto mayor construidos y dotados</t>
  </si>
  <si>
    <t xml:space="preserve">Servicio  de atención integral e inclusión para el bienestar de los adultos mayores del departamento del Quindío </t>
  </si>
  <si>
    <t>Servicio de atención y protección integral al adulto mayor</t>
  </si>
  <si>
    <t>Adultos mayores atendidos con servicios integrales</t>
  </si>
  <si>
    <t>4104008</t>
  </si>
  <si>
    <t xml:space="preserve">Servicios de atención integral al adulto mayor en situación permanente de desprotección social y/o familiar en el Departamento del Quindío. </t>
  </si>
  <si>
    <t>Centros de protección social para el adulto mayor dotados</t>
  </si>
  <si>
    <t>4104014</t>
  </si>
  <si>
    <t>Centros de protección social de día para el adulto mayor dotados</t>
  </si>
  <si>
    <t>Centros de día para el adulto mayor dotados</t>
  </si>
  <si>
    <t>Servicio de asesoría para el fortalecimiento de la Asociatividad</t>
  </si>
  <si>
    <t>170201102</t>
  </si>
  <si>
    <t>Asociaciones de mujeres fortalecidas</t>
  </si>
  <si>
    <t>Implementación de  estrategias de acompañamiento y asesoría a las asociaciones de mujeres del departamento del Quindío</t>
  </si>
  <si>
    <t>1702</t>
  </si>
  <si>
    <t>Apoyo para la conformación ó consolidación de asociaciones de mujeres productoras a través de estrategias y asesorías en temas organizacionales y administrativos en el departamento del Quindio</t>
  </si>
  <si>
    <t>Servicio de promoción de la garantía de derechos</t>
  </si>
  <si>
    <t>Estrategias de promoción de la garantía de derechos implementadas</t>
  </si>
  <si>
    <t xml:space="preserve">Implementación de la política pública de equidad de género para la mujer en el Departamento del Quindío  </t>
  </si>
  <si>
    <t xml:space="preserve">Implementación de la Política Pública para la equidad de género y la autonomía de las Mujeres en el Departamento del Quindío </t>
  </si>
  <si>
    <t xml:space="preserve">Implementación de la política pública  de diversidad sexual en el Departamento del Quindío 2019-2029  </t>
  </si>
  <si>
    <t>450203800</t>
  </si>
  <si>
    <t>Implementación de la política pública de diversidad sexual e identidad de género 2019-2029 en el departamento del Quindio</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</si>
  <si>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</si>
  <si>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</si>
  <si>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Fortalecimiento de espacios de formación, atención y liderazgo para las mujeres en el departamento del Quindío</t>
  </si>
  <si>
    <t>Implementación de la Casa Refugio de la Mujer del Departamento del Quindío</t>
  </si>
  <si>
    <t>Implementación de medidas de protección y atención para las mujeres víctimas de violencia y discriminación en el marco de la Ley 1257 del 2008, en el departamento del Quindío</t>
  </si>
  <si>
    <t>4102041</t>
  </si>
  <si>
    <t>Servicio de asistencia técnica en el ciclo de políticas públicas de familia y otras relacionadas</t>
  </si>
  <si>
    <t>Instituciones y entidades asistidas técnicamente</t>
  </si>
  <si>
    <t>Implementación de la Política Pública de juventud en el departamento del Quindío</t>
  </si>
  <si>
    <t xml:space="preserve">Asistencia técnica a las entidades territoriales en las Políticas Públicas de primera infancia, infancia, adolescencia, juventud y familia en el departamento del Quindío. </t>
  </si>
  <si>
    <t xml:space="preserve">Formulación y evaluación de instrumentos de Políticas Públicas para el abordaje de las poblaciones en situación de desprotección social del departamento del Quindío. </t>
  </si>
  <si>
    <t>4502039</t>
  </si>
  <si>
    <t>Servicio de apoyo financiero para empresas y emprendimientos productivos</t>
  </si>
  <si>
    <t>Personas y empresas beneficiadas</t>
  </si>
  <si>
    <t>Fortalecimiento de emprendimientos individuales y colectivos de personas y comunidades en riesgo con enfoque diferencial para la generación de ingresos en el departamento del Quindío</t>
  </si>
  <si>
    <t>Secretaría de Salud</t>
  </si>
  <si>
    <t>Servicio de registro sanitario</t>
  </si>
  <si>
    <t>Registros sanitarios expedidos</t>
  </si>
  <si>
    <t xml:space="preserve">Fortalecimiento de la autoridad sanitaria en el Departamento del Quindío                                                                                           </t>
  </si>
  <si>
    <t xml:space="preserve"> Secretario de Salud</t>
  </si>
  <si>
    <t>Realizar la vigilancia epidemiológica de plaguicidas en el marco del programa veo (vigilancia epidemiológica de organofosforados y carba matos) en los municipios de competencia departamental.</t>
  </si>
  <si>
    <t>Entidades territoriales con vigilancia y control realizados</t>
  </si>
  <si>
    <t>Servicio de información de vigilancia epidemiológica</t>
  </si>
  <si>
    <t>Informes de evento generados en la vigencia</t>
  </si>
  <si>
    <t>Fortalecimiento de la capacidad resolutiva para la respuesta frente a brotes y emergencias en salud pública, del Sistema de Vigilancia en Salud Pública, y el Laboratorio de Salud Pública del departamento del Quindío</t>
  </si>
  <si>
    <t>Servicio de asistencia técnica en inspección, vigilancia y control</t>
  </si>
  <si>
    <t>Asistencias técnica en Inspección, Vigilancia y Control realizadas</t>
  </si>
  <si>
    <t>Servicio de promoción, prevención, vigilancia y control de vectores y zoonosis</t>
  </si>
  <si>
    <t xml:space="preserve">Municipios categorías 4,5 y 6 que formulen y ejecuten real y efectivamente acciones de promoción, prevención, vigilancia  y control de vectores y zoonosis  realizados </t>
  </si>
  <si>
    <t>Servicio de evaluación, aprobación y seguimiento de planes de gestión integral del riesgo</t>
  </si>
  <si>
    <t>Informes de evaluación, aprobación y seguimiento de Planes de Gestión Integral de Riesgo realizados</t>
  </si>
  <si>
    <t>Fortalecimiento del modelo de inspección, vigilancia y control en Salud Ambiental en el departamento del Quindío</t>
  </si>
  <si>
    <t>Documentos técnicos de estándares sanitarios  publicados</t>
  </si>
  <si>
    <t>asistencias técnica en Inspección, Vigilancia y Control realizadas</t>
  </si>
  <si>
    <t xml:space="preserve">Fortalecimiento del modelo de inspección, vigilancia y control en Salud Ambiental en el departamento del Quindío
</t>
  </si>
  <si>
    <t>Servicio de vigilancia de calidad del agua para consumo humano, recolección, transporte y disposición final de residuos sólidos; manejo y disposición final de radiaciones ionizantes, excretas, residuos líquidos y aguas servidas y calidad del aire.</t>
  </si>
  <si>
    <t>Entidades territoriales atendidas</t>
  </si>
  <si>
    <t>Servicio de información para la gestión de la inspección, vigilancia y control sanitario</t>
  </si>
  <si>
    <t>Usuarios del sistema</t>
  </si>
  <si>
    <t>Servicio de vigilancia y control sanitario de los factores de riesgo para la salud, en los establecimientos y espacios que pueden generar riesgos para la población.</t>
  </si>
  <si>
    <t>Establecimientos abiertos al público vigilados y controlados</t>
  </si>
  <si>
    <t>Servicio de inspección, vigilancia y control</t>
  </si>
  <si>
    <t>Visitas realizadas</t>
  </si>
  <si>
    <t>Fortalecimiento de la autoridad sanitaria en los procesos de inspección vigilancia y control a prestadores de servicios de salud en el Departamento del Quindio</t>
  </si>
  <si>
    <t>Documentos técnicos publicados y/o socializados</t>
  </si>
  <si>
    <t xml:space="preserve"> Implementación de programas de promoción social en poblaciones  especiales en el Departamento del Quindío </t>
  </si>
  <si>
    <t>Servicio de análisis de laboratorio</t>
  </si>
  <si>
    <t>Análisis realizados</t>
  </si>
  <si>
    <t xml:space="preserve"> Fortalecimiento de las actividades de vigilancia y control del laboratorio de salud pública en el Departamento del Quindío</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</si>
  <si>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</si>
  <si>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</si>
  <si>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</si>
  <si>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</si>
  <si>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</si>
  <si>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Asistencias técnicas realizadas </t>
  </si>
  <si>
    <t>Documentos técnicos socializados</t>
  </si>
  <si>
    <t>Asesoría y apoyo al proceso del sistema obligatorio de garantía de calidad de los prestadores de salud en el Departamento del Quindío</t>
  </si>
  <si>
    <t>Servicio de Gestión de Peticiones, Quejas, Reclamos y Denuncias</t>
  </si>
  <si>
    <t>Preguntas Quejas Reclamos y Denuncias Gestionadas</t>
  </si>
  <si>
    <t xml:space="preserve">Apoyo operativo a la inversión social en salud en el Departamento del Quindío </t>
  </si>
  <si>
    <t>Servicio de implementación de estrategias para el fortalecimiento del control social en salud</t>
  </si>
  <si>
    <t>Estrategias para el fortalecimiento del control social en salud implementadas</t>
  </si>
  <si>
    <t>Servicio de certificaciones en buenas practicas</t>
  </si>
  <si>
    <t>Certificaciones expedidas</t>
  </si>
  <si>
    <t xml:space="preserve">Apoyo operativo a la inversión social en salud por y para la gente en el Departamento del Quindío </t>
  </si>
  <si>
    <t>Servicio de gestión de peticiones, quejas, reclamos y denuncias</t>
  </si>
  <si>
    <t>Servicio del ejercicio del procedimiento administrativo sancionatorio</t>
  </si>
  <si>
    <t xml:space="preserve">procesos con aplicación del procedimiento administrativo sancionatorio tramitados </t>
  </si>
  <si>
    <t>Servicios de comunicación y divulgación en inspección, vigilancia y control</t>
  </si>
  <si>
    <t>Productos de comunicación difundidos</t>
  </si>
  <si>
    <t>Eventos de rendición de cuentas realizados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</si>
  <si>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</si>
  <si>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</si>
  <si>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</si>
  <si>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</si>
  <si>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Servicios de promoción de la salud y prevención de riesgos asociados a condiciones no transmisibles</t>
  </si>
  <si>
    <t>Campañas de promoción de la salud y prevención de riesgos asociados a condiciones no transmisibles implementadas</t>
  </si>
  <si>
    <t xml:space="preserve">Servicio de educación informal en temas de salud pública </t>
  </si>
  <si>
    <t>Control en Salud Ambiental para la consecución de un estado de vida saludable de la población  del  Departamento del Quindío.</t>
  </si>
  <si>
    <t>Fortalecimiento de la gestión del riesgo sanitario y ambiental para la vigilancia de salud pública en el Departamento del Quindío</t>
  </si>
  <si>
    <t>Servicio de gestión territorial para atención en salud - pandemias - a población afectada por emergencias o desastres.</t>
  </si>
  <si>
    <t>Personas en capacidad de ser atendidas</t>
  </si>
  <si>
    <t>Servicio de gestión del riesgo para enfermedades emergentes, reemergentes y desatendidas</t>
  </si>
  <si>
    <t xml:space="preserve">Campañas de gestión del riesgo para enfermedades emergentes, reemergentes y desatendidas implementadas
</t>
  </si>
  <si>
    <t>Servicio de gestión del riesgo para abordar situaciones de salud relacionadas con condiciones ambientales</t>
  </si>
  <si>
    <t>Estrategias de gestión del riesgo para abordar situaciones de salud relacionadas con condiciones ambientales implementadas</t>
  </si>
  <si>
    <t>Servicio de gestión del riesgo para abordar situaciones endemo-epidémicas</t>
  </si>
  <si>
    <t>Campañas de gestión del riesgo para abordar situaciones endemo-epidémicas implementadas</t>
  </si>
  <si>
    <t>Servicio de promoción de la salud</t>
  </si>
  <si>
    <t>Estrategias de promoción de la salud en condiciones ambientales implementadas</t>
  </si>
  <si>
    <t>Estrategias de promoción de la salud para abordar situaciones relacionadas con hábitat saludable implementadas</t>
  </si>
  <si>
    <t>Estrategias de promoción de la salud para enfermedades emergentes, reemergentes y desatendidas implementadas</t>
  </si>
  <si>
    <t>Servicio de promoción de la salud y prevención de riesgos asociados a condiciones no transmisibles (1905031)</t>
  </si>
  <si>
    <t>Campañas de promoción de la salud  y prevención de riesgos asociados a condiciones no transmisibles implementadas (190503100)</t>
  </si>
  <si>
    <t>Campañas de gestión del riesgo para abordar situaciones de salud relacionadas con condiciones ambientales implementadas</t>
  </si>
  <si>
    <t xml:space="preserve">Fortalecimiento de acciones propias a los derechos sexuales y reproductivos en el Departamento del Quindío. </t>
  </si>
  <si>
    <t>Servicio de gestión del riesgo en temas de salud sexual y reproductiva (1905021)</t>
  </si>
  <si>
    <t>Campañas de gestión del riesgo en temas de salud sexual y reproductiva implementadas (190502100)</t>
  </si>
  <si>
    <t>Prevencion y gestion de riesgo de los eventos en salud publica relacionados con la salud sexual y reproductiva en el Departamento del Quindio</t>
  </si>
  <si>
    <t>Personas atendidas con campañas de gestión del riesgo en temas de salud sexual y reproductiva</t>
  </si>
  <si>
    <t>Estrategias de gestión del riesgo en temas de salud sexual y reproductiva implementadas</t>
  </si>
  <si>
    <t>Servicio de promoción de la participación social en salud</t>
  </si>
  <si>
    <t>190504900</t>
  </si>
  <si>
    <t>Estrategias de promoción de la participación social en salud implementadas</t>
  </si>
  <si>
    <t>Estrategias de promoción de la salud en temas de salud sexual y reproductiva implementadas</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</si>
  <si>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</si>
  <si>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</si>
  <si>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</si>
  <si>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1905015</t>
  </si>
  <si>
    <t>Planes de salud pública elaborados</t>
  </si>
  <si>
    <t>Prevención de la salud mental y de los factores de riesgo asociados a la salud mental y el consumo de sustancias psicoactivas del  Quindio</t>
  </si>
  <si>
    <t>Estrategias de gestión del riesgo en temas de consumo de sustancias psicoactivas implementadas</t>
  </si>
  <si>
    <t>1905</t>
  </si>
  <si>
    <t>Estrategias de gestión del riesgo en temas de trastornos mentales implementadas</t>
  </si>
  <si>
    <t>Generación de estilos de vida saludable y control y vigilancia en la gestión del riesgo de condiciones no transmisibles en el  Departamento del Quindío.</t>
  </si>
  <si>
    <t>Cuartos fríos adecuados</t>
  </si>
  <si>
    <t xml:space="preserve">Fortalecimiento de acciones de promoción, prevención y protección específica para la población infantil en el Departamento del Quindío.  </t>
  </si>
  <si>
    <t>Fortalecimiento de la atención Integral en Salud de niños y niñas de la primera infancia e infancia con enfoque de curso de vida en el Departamento del Quindío</t>
  </si>
  <si>
    <t>Cuartos fríos con mantenimiento</t>
  </si>
  <si>
    <t>Campañas de gestión del riesgo para enfermedades emergentes, reemergentes y desatendidas implementadas.</t>
  </si>
  <si>
    <t>auditorías y visitas inspectivas realizadas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</si>
  <si>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</si>
  <si>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</si>
  <si>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</si>
  <si>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Servicio de suministro de insumos para el manejo de eventos de interés en salud pública</t>
  </si>
  <si>
    <t>Entidades territoriales con servicio de suministro de insumos para el manejo de eventos de interés en salud pública</t>
  </si>
  <si>
    <t>Estrategias de promoción de la salud para enfermedades inmunoprevenibles implementadas</t>
  </si>
  <si>
    <t xml:space="preserve">Difusión de la estrategia de gestión integral y de control en vectores, zoonosis y cambio climático del Departamento del Quindío.   </t>
  </si>
  <si>
    <t xml:space="preserve">Fortalecimiento de la inclusión social para la disminución del riesgo de contraer enfermedades transmisibles en el Departamento del Quindío.  </t>
  </si>
  <si>
    <t xml:space="preserve">Documentos de planeación en epidemiología y demografía elaborados </t>
  </si>
  <si>
    <t xml:space="preserve">Fortalecimiento del sistema de vigilancia en salud pública en el Departamento del Quindío. </t>
  </si>
  <si>
    <t xml:space="preserve"> Salud Pública</t>
  </si>
  <si>
    <t>Documentos de planeación en epidemiología y demografía  elaborados</t>
  </si>
  <si>
    <t xml:space="preserve">Fortalecimiento del capital estructural del Sistema de Vigilancia en Salud Pública del Departamento del Quindío
</t>
  </si>
  <si>
    <t>Mecanismos y espacios de participación social en salud conformados</t>
  </si>
  <si>
    <t>Entidades territoriales asistidas técnicamente en el plan territorial del salud</t>
  </si>
  <si>
    <t>Fortalecimiento del capital estructural del Sistema de Vigilancia en Salud Pública del Departamento del Quindío</t>
  </si>
  <si>
    <t xml:space="preserve">Centros reguladores de urgencias, emergencias y desastres dotados </t>
  </si>
  <si>
    <t>Centros reguladores de urgencias, emergencias y desastres dotados</t>
  </si>
  <si>
    <t xml:space="preserve">Fortalecimiento de la red de urgencias y emergencias en el Departamento del Quindío. </t>
  </si>
  <si>
    <t>Operación del Centro Regulador de Urgencias y Emergencias CRUE en el Departamento del Quindío.</t>
  </si>
  <si>
    <t>Fortalecimiento de las intervenciones colectivas y prioridades en salud pública del Departamento del Quindío- PIC</t>
  </si>
  <si>
    <t>Servicio de promoción de la salud y prevención de riesgos asociados a condiciones no transmisibles.</t>
  </si>
  <si>
    <t>Campañas de promoción de la salud  y prevención de riesgos asociados a condiciones no transmisibles implementadas.</t>
  </si>
  <si>
    <t>Fortalecimiento de las intervenciones, procedimientos y actividades del plan de salud pública de intervenciones colectivas PIC para generar condiciones que favorezcan el control de factores de riesgo de la salud de la población del departamento del Quindío</t>
  </si>
  <si>
    <t>Entidades territoriales asistidas técnicamente en el plan de intervenciones colectivas</t>
  </si>
  <si>
    <t>Servicios de información actualizados</t>
  </si>
  <si>
    <t>Sistemas de información del plan de intervenciones colectivas actualizados</t>
  </si>
  <si>
    <t>Aseguramiento y prestación integral de servicios de salud</t>
  </si>
  <si>
    <t xml:space="preserve">Servicio de tecnologías en salud financiadas con la unidad de pago por capitación - UPC </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</si>
  <si>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</si>
  <si>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</si>
  <si>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Cofinanciación del Régimen Subsidiado y apoyo a la prestación de servicios de Salud en el Departamento del Quindío.</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</si>
  <si>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</si>
  <si>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</si>
  <si>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Servicio de atención oportuna e integral a la población inimputable del Departamento del Quindío.</t>
  </si>
  <si>
    <t xml:space="preserve">Servicio de apoyo financiero para el fortalecimiento patrimonial de las empresas prestadoras de salud con participación financiera de las entidades territoriales </t>
  </si>
  <si>
    <t>Empresas prestadoras de salud capitalizadas</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</si>
  <si>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</si>
  <si>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</si>
  <si>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</si>
  <si>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Servicio de atención en salud a la población</t>
  </si>
  <si>
    <t>Personas atendidas con servicio de salud</t>
  </si>
  <si>
    <t>Personas afiliadas en servicio de salud</t>
  </si>
  <si>
    <t>Servicio de apoyo financiero para la atención en salud a la población</t>
  </si>
  <si>
    <t>Instituciones financiadas para la atención en salud a la población</t>
  </si>
  <si>
    <t>Servicio de afiliaciones al régimen subsidiado del Sistema General de Seguridad Social</t>
  </si>
  <si>
    <t>Personas afiliadas al régimen subsidiado</t>
  </si>
  <si>
    <t>Servicio de adopción y seguimiento de acciones y medidas especiales</t>
  </si>
  <si>
    <t>Acciones y medidas especiales ejecutadas</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</si>
  <si>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</si>
  <si>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</si>
  <si>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</si>
  <si>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Fortalecimiento de los procesos gestión de la salud pública para el logro de resultados en salud asociados a las enfermedades trasmitidas por micobacterias y la discapacidad en el Departamento del Quindio.</t>
  </si>
  <si>
    <t xml:space="preserve">Fortalecimiento de los procesos gestión de la salud pública para el logro de resultados en salud asociados a las enfermedades trasmitidas por micobacterias y la discapacidad en el Departamento del Quindio.
</t>
  </si>
  <si>
    <t>Servicio de certificación de discapacidad para las personas con discapacidad</t>
  </si>
  <si>
    <t>Valoraciones multidisciplinarias realizadas</t>
  </si>
  <si>
    <t xml:space="preserve">Servicio de atención en salud pública en situaciones de emergencias y desastres </t>
  </si>
  <si>
    <t xml:space="preserve">Prevención, preparación, contingencia, mitigación y superación de emergencias y contingencias por eventos relacionados con la salud pública en el Departamento del Quindío.  </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</si>
  <si>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</si>
  <si>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</si>
  <si>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</si>
  <si>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Servicio de gestión del riesgo para abordar condiciones crónicas prevalentes.</t>
  </si>
  <si>
    <t>Campañas de gestión del riesgo para abordar condiciones crónicas prevalentes implementadas.</t>
  </si>
  <si>
    <t xml:space="preserve">	Implementación de la gestión integral por y para la salud de los Quindianos en el Departamento del Quindio</t>
  </si>
  <si>
    <t>Trabajadores informales con gestión del riesgo para abordar situaciones prevalentes de origen laboral acompañados</t>
  </si>
  <si>
    <t>Estrategias de gestión del riesgo para abordar situaciones prevalentes de origen laboral implementadas</t>
  </si>
  <si>
    <t>Servicio de gestión del riesgo para temas de consumo, aprovechamiento biológico, calidad e inocuidad de los alimentos</t>
  </si>
  <si>
    <t>Estrategias de gestión para temas de consumo, aprovechamiento biológico, calidad e inocuidad de los alimentos implementadas</t>
  </si>
  <si>
    <t>Servicio de atención en salud pública en situaciones de emergencias y desastres</t>
  </si>
  <si>
    <t>Servicio de atención psicosocial a víctimas del conflicto armado</t>
  </si>
  <si>
    <t>Personas víctimas del conflicto armado atendidas con atención psicosocial</t>
  </si>
  <si>
    <t>Entidades apoyadas</t>
  </si>
  <si>
    <t>Estrategias de promoción de la salud en situaciones prevalentes de origen laboral implementadas</t>
  </si>
  <si>
    <t>Estrategias de promoción de la salud para temas de consumo, aprovechamiento biológico, calidad e inocuidad de los alimentos implementadas</t>
  </si>
  <si>
    <t>Servicio de apoyo a la prestación del servicio de transporte de pacientes</t>
  </si>
  <si>
    <t>Entidades de la red pública en salud apoyadas en la adquisición de ambulancias</t>
  </si>
  <si>
    <t>Fortalecimiento de la infraestructura física, dotación biomédica y vehiculos para la prestación de servicios de Salud en las las ESES del Departamento</t>
  </si>
  <si>
    <t>Servicio de apoyo para la dotación hospitalaria</t>
  </si>
  <si>
    <t>Elementos de dotación hospitalaria adquiridos</t>
  </si>
  <si>
    <t>Laboratorios de salud pública con servicio de suministro de insumos</t>
  </si>
  <si>
    <t>Fortalecimiento de las actividades de vigilancia en Salud Pública en el departamento mediante las acciones misionales del laboratorio, con el fin de poder tomar decisiones para la Salud Pública.  Quindio</t>
  </si>
  <si>
    <t>Implementación de la salud Inclusiva por y para todos en el Quindío</t>
  </si>
  <si>
    <t>Secretaría Tecnologías de la Información y las Comunicaciones</t>
  </si>
  <si>
    <t>Tecnologías de la información y las comunicaciones</t>
  </si>
  <si>
    <t>Facilitar el acceso y uso de las Tecnologías de la Información y las Comunicaciones en todo el territorio nacional</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</si>
  <si>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</si>
  <si>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</si>
  <si>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</si>
  <si>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Secretario Tecnologías de la Información y las Comunicaciones</t>
  </si>
  <si>
    <t>Servicio de acceso zonas digitales</t>
  </si>
  <si>
    <t>Zonas digitales en áreas rurales con redes terrestres instaladas</t>
  </si>
  <si>
    <t>Servicio de apoyo en tecnologías de la información y las comunicaciones para la educación básica, primaria y secundaria</t>
  </si>
  <si>
    <t>Tecnologías de la Información y las Comunicaciones</t>
  </si>
  <si>
    <t>2301</t>
  </si>
  <si>
    <t>Servicio de acceso y uso de Tecnologías de la Información y las Comunicaciones</t>
  </si>
  <si>
    <t>Centros de Acceso Comunitario en zonas urbanas y/o rurales y/o apartadas funcionando</t>
  </si>
  <si>
    <t>Fortalecimiento de la conectividad y acceso a las tecnologias de la información y comunicaciones en el departamento del Quindio</t>
  </si>
  <si>
    <t>23</t>
  </si>
  <si>
    <t>2301028</t>
  </si>
  <si>
    <t>Servicio de conexiones a redes de servicio portador</t>
  </si>
  <si>
    <t>Municipios y áreas no municipalizadas conectados a redes de servicio</t>
  </si>
  <si>
    <t>Zonas digitales en áreas rurales con redes terrestres instaladas (230107902)</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</si>
  <si>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</si>
  <si>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</si>
  <si>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</si>
  <si>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Servicio de educación para el trabajo en temas de uso pedagógico de tecnologías de la información y las comunicaciones.</t>
  </si>
  <si>
    <t>Docentes formados en uso pedagógico de tecnologías de la información y las comunicaciones.</t>
  </si>
  <si>
    <t>Estudiantes de sedes educativas oficiales beneficiados con el servicio de apoyo en tecnologías de la información y las comunicaciones para la educación</t>
  </si>
  <si>
    <t>Fortalecimiento Social TIC en el Departamento del Quindío</t>
  </si>
  <si>
    <t xml:space="preserve">Fortalecimiento Social TIC en el Departamento del Quindío </t>
  </si>
  <si>
    <t>Fomento del desarrollo de aplicaciones, software y contenidos para impulsar la apropiación de las Tecnologías de la Información y las Comunicaciones (TIC)</t>
  </si>
  <si>
    <t xml:space="preserve">Fortalecimiento de la estrategia de gobierno digital  en la Administración Departamental y  Entes Territoriales del departamento del  Quindío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</si>
  <si>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</si>
  <si>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</si>
  <si>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</si>
  <si>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</si>
  <si>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 de programas enfocados en generar competencias TIC</t>
  </si>
  <si>
    <t>Documentos metodológicos</t>
  </si>
  <si>
    <t>Documento metodológico del modelo de acompañamiento para la implementación de la Estrategia de Gobierno digital elaborado</t>
  </si>
  <si>
    <t>Documentos de evaluación de programas enfocados en enfoque diferencial sobre las TIC</t>
  </si>
  <si>
    <t>Fortalecimiento de la Estrategia de Gobierno Digital e Infraestructura Tecnológica en el Departamento del Quindío</t>
  </si>
  <si>
    <t>Servicios tecnológicos</t>
  </si>
  <si>
    <t>Índice de capacidad en la prestación de servicios de tecnología</t>
  </si>
  <si>
    <t>Instituto Departamental de Deporte y Recreación del Quindío</t>
  </si>
  <si>
    <t>Servicio de Escuelas Deportivas</t>
  </si>
  <si>
    <t>Municipios con Escuelas Deportivas</t>
  </si>
  <si>
    <t>Fortalecimiento, hábitos y estilos de vida saludable como instrumento SALVAVIDAS en el departamento del Quindío</t>
  </si>
  <si>
    <t>Gerente Indeportes Quindío</t>
  </si>
  <si>
    <t>Servicio de promoción de la actividad física, la recreación y el deporte</t>
  </si>
  <si>
    <t>Municipios implementando  programas de recreación, actividad física y deporte social comunitario</t>
  </si>
  <si>
    <t>4301007</t>
  </si>
  <si>
    <t>Niños, niñas, adolescentes y jóvenes inscritos en Escuelas Deportivas</t>
  </si>
  <si>
    <t>Fortalecimiento de hábitos y estilos de vida saludables a través de la actividad física, la recreación y el deporte en el departamento del Quindío</t>
  </si>
  <si>
    <t>430100701</t>
  </si>
  <si>
    <t>Servicio de organización de eventos deportivos comunitarios</t>
  </si>
  <si>
    <t>4301035</t>
  </si>
  <si>
    <t>Servicio de educación informal en recreación</t>
  </si>
  <si>
    <t>430103500</t>
  </si>
  <si>
    <t>4301037</t>
  </si>
  <si>
    <t xml:space="preserve">Personas que acceden a servicios deportivos, recreativos y de actividad fisica </t>
  </si>
  <si>
    <t>Municipios implementando programas de recreación, actividad física y deporte social comunitario</t>
  </si>
  <si>
    <t>Formación y preparación de deportistas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</si>
  <si>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</si>
  <si>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</si>
  <si>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</si>
  <si>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4302</t>
  </si>
  <si>
    <t>Servicio de apoyo financiero a atletas</t>
  </si>
  <si>
    <t>430200200</t>
  </si>
  <si>
    <t>Estímulos entregados</t>
  </si>
  <si>
    <t>Fortalecimiento de la formación y preparación deportiva a través de los organismos deportivos en el departamento del Quindío</t>
  </si>
  <si>
    <t>4302075</t>
  </si>
  <si>
    <t>Proyecta Empresa para el Desarrollo Territorial</t>
  </si>
  <si>
    <t>Mantenimiento de obras complementarias de la infraestructura  deportiva y recreativa en el Departamento del Quindío.</t>
  </si>
  <si>
    <t>Gerente General Proyecta para el Desarrollo Territorial</t>
  </si>
  <si>
    <t>430100400</t>
  </si>
  <si>
    <t>4301031</t>
  </si>
  <si>
    <t>Estudios y diseños de infraestructura recreo-deportiva</t>
  </si>
  <si>
    <t>Estudios y diseños elaborados</t>
  </si>
  <si>
    <t>Mantenimiento de obras complementarias en la Infraestructura educativa en el Departamento del Quindío.</t>
  </si>
  <si>
    <t>Fortalecimiento de la infraestructura educativa en el departamento del Quindío</t>
  </si>
  <si>
    <t>22</t>
  </si>
  <si>
    <t>2201</t>
  </si>
  <si>
    <t>Estudios y diseños de infraestructura educativa</t>
  </si>
  <si>
    <t>Estudios y diseños de infraestructura educativa elaborados</t>
  </si>
  <si>
    <t>CONVERGENCIA TERRITORIAL “Quindío interconectado territorialmente, donde el progreso y las oportunidades llegan a todos los rincones”</t>
  </si>
  <si>
    <t xml:space="preserve"> Mantenimiento de obras complementarias a la infraestructura vial en el Departamento del Quindío</t>
  </si>
  <si>
    <t>Mantenimiento de la infraestructura vial del departamento del Quindío</t>
  </si>
  <si>
    <t xml:space="preserve">2402114
</t>
  </si>
  <si>
    <t>Vía urbana mejorada</t>
  </si>
  <si>
    <t xml:space="preserve">Vía urbana mejorada </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</si>
  <si>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</si>
  <si>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</si>
  <si>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</si>
  <si>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</si>
  <si>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 xml:space="preserve">Viviendas de Interés Prioritario urbanas mejoradas </t>
  </si>
  <si>
    <t>400101800</t>
  </si>
  <si>
    <t>Viviendas de Interés Prioritario urbanas mejoradas</t>
  </si>
  <si>
    <t>4001015</t>
  </si>
  <si>
    <t>4001</t>
  </si>
  <si>
    <t>4001001</t>
  </si>
  <si>
    <t>Servicio de asistencia técnica y jurídica en saneamiento y titulación de predios</t>
  </si>
  <si>
    <t xml:space="preserve"> Fortalecimiento del sector vivienda en el departamento del Quindio </t>
  </si>
  <si>
    <t>Servicio de saneamiento y titulación de bienes fiscales</t>
  </si>
  <si>
    <t>Bienes fiscales saneados y titulados</t>
  </si>
  <si>
    <t>4001041</t>
  </si>
  <si>
    <t>Vivienda de Interés Prioritario mejoradas</t>
  </si>
  <si>
    <t>4001044</t>
  </si>
  <si>
    <t>Vivienda de Interés Social mejoradas</t>
  </si>
  <si>
    <t>4599016</t>
  </si>
  <si>
    <t>Mantenimiento de los edificios públicos y/o equipamientos colectivos y comunitarios en el Departamento del Quindío.</t>
  </si>
  <si>
    <t xml:space="preserve"> Territorio, Ambiente y Desarrollo Sostenible </t>
  </si>
  <si>
    <t xml:space="preserve"> Acceso de la población a los servicios de agua potable y saneamiento básico </t>
  </si>
  <si>
    <t xml:space="preserve"> Servicios de apoyo financiero para la ejecución de proyectos de acueductos y alcantarillado </t>
  </si>
  <si>
    <t xml:space="preserve"> Proyectos de acueducto y alcantarillado en área urbana financiados </t>
  </si>
  <si>
    <t> 2023003630001</t>
  </si>
  <si>
    <t>Construcción y/o mejoramiento de las redes de acueducto y alcantarillado en los municipios del departamento del Quindío</t>
  </si>
  <si>
    <t>Fortalecimiento de las redes de acueducto y alcantarillado en los municipios del departamento del Quindío</t>
  </si>
  <si>
    <t xml:space="preserve">Instituto Departamental de Tránsito del Quindío </t>
  </si>
  <si>
    <t>Seguridad de transporte</t>
  </si>
  <si>
    <t>Implementación del programa de seguridad vial en el Departamento del Quindío  "TU Y YO POR LA SEGURIDAD VIAL"</t>
  </si>
  <si>
    <t xml:space="preserve">Gerente  Instituto Departamental de Tránsito del Quindío </t>
  </si>
  <si>
    <t>Vías con dispositivos de control y señalización</t>
  </si>
  <si>
    <t xml:space="preserve">Demarcación horizontal longitudinal realizada </t>
  </si>
  <si>
    <t>Servicio de educación informal en seguridad vial</t>
  </si>
  <si>
    <t>Personas beneficiadas de estrategias de educación informal</t>
  </si>
  <si>
    <t>Fortalecimiento de la movilidad en las vías de la jurisdicción del Instituto Departamental de Tránsito del Quindío.</t>
  </si>
  <si>
    <t>2409004</t>
  </si>
  <si>
    <t>Seguimiento y control a la operación de los sistemas de transporte</t>
  </si>
  <si>
    <t>240900400</t>
  </si>
  <si>
    <t>Operativos de control realizados</t>
  </si>
  <si>
    <t>2409039</t>
  </si>
  <si>
    <t>240903900</t>
  </si>
  <si>
    <t>Vías con dispositivos de control y señalización instalados</t>
  </si>
  <si>
    <t>2409010</t>
  </si>
  <si>
    <t>Servicio de información de seguridad vial</t>
  </si>
  <si>
    <t>240901000</t>
  </si>
  <si>
    <t>Informes de seguridad vial</t>
  </si>
  <si>
    <t>240901003</t>
  </si>
  <si>
    <t>Observatorio vial en funcionamiento</t>
  </si>
  <si>
    <t>2409014</t>
  </si>
  <si>
    <t xml:space="preserve"> TOTALES:</t>
  </si>
  <si>
    <t>UNIDAD</t>
  </si>
  <si>
    <t>PROGRAMA</t>
  </si>
  <si>
    <t>NOMBRE PROGRAMA</t>
  </si>
  <si>
    <t>No.</t>
  </si>
  <si>
    <t>CÓDIGO BPIN</t>
  </si>
  <si>
    <t>NOMBRE DEL PROYECTO</t>
  </si>
  <si>
    <t>PRESUPUESTO</t>
  </si>
  <si>
    <t>304 SECRETARÍA ADMINISTRATIVA</t>
  </si>
  <si>
    <t>305 SECRETARÍA DE PLANEACIÓN</t>
  </si>
  <si>
    <t>307 SECRETARÍA DE HACIENDA Y FINANZAS PÚBLICAS</t>
  </si>
  <si>
    <t>308 SECRETARÍA DE AGUAS E INFRAESTRUCTURA</t>
  </si>
  <si>
    <t>309 SECRETARÍA DE INTERIOR</t>
  </si>
  <si>
    <t>311 SECRETARÍA DE TURISMO INDUSTRIA Y COMERCIO</t>
  </si>
  <si>
    <t xml:space="preserve"> 312 SECRETARÍA DE AGRICULTURA DESARROLLO RUAL Y MEDIO AMBIENTE </t>
  </si>
  <si>
    <t>313 SECRETARÍA PRIVADA</t>
  </si>
  <si>
    <t xml:space="preserve"> 314 SECRETARÍA DE EDUCACIÓN </t>
  </si>
  <si>
    <t>316 SECRETARÍA DE FAMILIA</t>
  </si>
  <si>
    <t>318 SECRETARÍA DE SALUD</t>
  </si>
  <si>
    <t>319 INDEPORTES</t>
  </si>
  <si>
    <t>320 PROYECTA EMPRESA PARA EL DESARROLLO TERRITORIAL</t>
  </si>
  <si>
    <t>321 INSTITUTO DEPARTAMENTAL DE TRÁNSITO DEL QUINDÍO</t>
  </si>
  <si>
    <t>TOTAL PROYECTOS INVERSION DEPARTAMENTAL 2024</t>
  </si>
  <si>
    <t>314 SECRETARÍA DE EDUCACIÓN</t>
  </si>
  <si>
    <t>Recurso Ordinario</t>
  </si>
  <si>
    <t xml:space="preserve">305 SECRETARÍA DE PLANEACIÓN </t>
  </si>
  <si>
    <t>307 SECRETARÍA DE HACIENDA</t>
  </si>
  <si>
    <t>Convenio Anticontrabando</t>
  </si>
  <si>
    <t xml:space="preserve">308 SECRETARÍA DE AGUAS E INFRAESTRUCTURA </t>
  </si>
  <si>
    <t>Estampilla Prodesarrollo</t>
  </si>
  <si>
    <t>SGP Agua Potable Saneamiento Básico</t>
  </si>
  <si>
    <t>Nación</t>
  </si>
  <si>
    <t xml:space="preserve">309  SECRETARÍA DEL INTERIOR </t>
  </si>
  <si>
    <t xml:space="preserve">310 SECRETARÍA DE CULTURA </t>
  </si>
  <si>
    <t>Estampilla Pro Cultura</t>
  </si>
  <si>
    <t xml:space="preserve">311 SECRETARÍA DE TURISMO INDUSTRIA Y COMERCIO </t>
  </si>
  <si>
    <t xml:space="preserve">312 SECRETARÍA DE AGRICULTURA, DESARROLLO RURAL Y MEDIO AMBIENTE </t>
  </si>
  <si>
    <t xml:space="preserve">313 SECRETARÍA  PRIVADA </t>
  </si>
  <si>
    <t>Monopolio</t>
  </si>
  <si>
    <t>SGP Educación</t>
  </si>
  <si>
    <t>Programa Alimentación Escolar</t>
  </si>
  <si>
    <t>Estampilla Pro Adulto Mayor</t>
  </si>
  <si>
    <t xml:space="preserve">318 SECRETARIA DE SALUD </t>
  </si>
  <si>
    <t>SGP Salud</t>
  </si>
  <si>
    <t>Rentas Cedidas</t>
  </si>
  <si>
    <t>Otros Recursos (fondo de Estupefacientes)</t>
  </si>
  <si>
    <t>Otros recursos  Nación</t>
  </si>
  <si>
    <t>324  SECRETARÍA TECNOLÓGIAS DE LA INFORMACIÓN Y LASCOMUNICACIÓN</t>
  </si>
  <si>
    <t>TOTAL ADMINISTRACIÓN CENTRAL:</t>
  </si>
  <si>
    <t xml:space="preserve">319 INDEPORTES QUINDÍO </t>
  </si>
  <si>
    <t>Estampilla Pro Deporte</t>
  </si>
  <si>
    <t>Impuesto Monopolio</t>
  </si>
  <si>
    <t>Ordinario</t>
  </si>
  <si>
    <t>Estampilla Pro Desarrollo</t>
  </si>
  <si>
    <t>Impuesto al Registro</t>
  </si>
  <si>
    <t>321 INSTITUTO DEPARTAMENTAL DE TRANSITO</t>
  </si>
  <si>
    <t>Recursos Propios</t>
  </si>
  <si>
    <t>TOTAL ENTES DESCENTRALIZADOS</t>
  </si>
  <si>
    <t>TOTAL POAI:</t>
  </si>
  <si>
    <t>Planeación</t>
  </si>
  <si>
    <t>Aguas e Infraestructura</t>
  </si>
  <si>
    <t>Interior</t>
  </si>
  <si>
    <t>Turismo Industria y Comercio</t>
  </si>
  <si>
    <t>Privada</t>
  </si>
  <si>
    <t>Familia</t>
  </si>
  <si>
    <t>Salud</t>
  </si>
  <si>
    <t>Proyecta</t>
  </si>
  <si>
    <t>FORMATO</t>
  </si>
  <si>
    <t>SECRETARIA DE PLANEACIÓN - GOBIERNO DEL QUINDIO</t>
  </si>
  <si>
    <t xml:space="preserve">SEGUIMIENTO PLAN OPERATIVO ANUAL DE INVERSIÓN  - POAI </t>
  </si>
  <si>
    <t>F-PLA-43</t>
  </si>
  <si>
    <t>UNIDAD EJECUTORA</t>
  </si>
  <si>
    <t xml:space="preserve"> LÍNEA ESTRATÉGICA</t>
  </si>
  <si>
    <t>PERIODO ADMINISTRATIVO ANTERIOR</t>
  </si>
  <si>
    <t>PERIODO ADMINISTRATIVO ACTUAL</t>
  </si>
  <si>
    <t>NOMBRE</t>
  </si>
  <si>
    <t xml:space="preserve">SEECTOR CATÁLOGO MGA </t>
  </si>
  <si>
    <t xml:space="preserve">PRODUCTO CATÁLOGO MGA </t>
  </si>
  <si>
    <t>INDICADOR CATÁLOGO MGA</t>
  </si>
  <si>
    <t>META PRODUCTO (FÍSICA)</t>
  </si>
  <si>
    <t>PROGRAMADA VIGENCIA</t>
  </si>
  <si>
    <t xml:space="preserve">EJECUTADA VIGENCIA </t>
  </si>
  <si>
    <t>TIPOLOGÍA
ACUMULADA
(Manteniniento)
NO ACUMULADA
(Incremento)</t>
  </si>
  <si>
    <t>APROPIACIÓN DEFINITIVA</t>
  </si>
  <si>
    <t>COMPROMISOS</t>
  </si>
  <si>
    <t>OBLIGACIONES</t>
  </si>
  <si>
    <t xml:space="preserve">  TOTAL  POAI  2024 </t>
  </si>
  <si>
    <t>UNIDAD / FUENTE DE FINANCIACIÓN</t>
  </si>
  <si>
    <t>Otros recursos: Sobretasa al ACPM - 20% Fonpet - Material de rio - Convenio Karabijua</t>
  </si>
  <si>
    <t>Otros recursos: Fondo de Seguridad 5%  20% Fonpet</t>
  </si>
  <si>
    <t>Iva Telefonía Móvil - 20% Fonpet</t>
  </si>
  <si>
    <t>Impuesto al Registro 4% - 20% Fonpet</t>
  </si>
  <si>
    <t>20% Fonpet</t>
  </si>
  <si>
    <t>310 CULTURA</t>
  </si>
  <si>
    <t xml:space="preserve">Fortalecimiento de las Instituciones públicas y privadas  técnicamente para la efectiva  resolución de conflictos en el departamento del Quindío.  
</t>
  </si>
  <si>
    <t>Fortalecimiento de las Instituciones públicas y privadas  técnicamente para la efectiva  resolución de conflictos en el departamento del Quindío</t>
  </si>
  <si>
    <t>Fortalecimiento de La Infraestructura Deportiva y Recreativa En El Departamento Del Quindio</t>
  </si>
  <si>
    <t>PLAN OPERATIVO ANUAL DE INVERSIONES POAI
PRESUPUESTO POR LÍNEAS ESTRATEGICAS
PLAN DE DESARROLLO 2024 - 2027 "POR Y PARA LA GENTE
III TRIMESTRE 2024</t>
  </si>
  <si>
    <t>TOTAL</t>
  </si>
  <si>
    <t>No. L.E</t>
  </si>
  <si>
    <t>LÍNEA ESTRATÉGICA</t>
  </si>
  <si>
    <t>Administrativa</t>
  </si>
  <si>
    <t>Hacienda</t>
  </si>
  <si>
    <t>% AP</t>
  </si>
  <si>
    <t>DISPONIBILIDADES</t>
  </si>
  <si>
    <t xml:space="preserve">OBLIGACIONES </t>
  </si>
  <si>
    <t>SALDOS
DISPONIBLES</t>
  </si>
  <si>
    <t>Agricultura, Desarrollo Rural y Medio Ambiente</t>
  </si>
  <si>
    <t>Tecnología de la Información y las Comunicaciones</t>
  </si>
  <si>
    <t>Indeportes</t>
  </si>
  <si>
    <t>Instituto Departamental de Transito</t>
  </si>
  <si>
    <t>TOTAL DEPARTAMENTO</t>
  </si>
  <si>
    <t>450200100</t>
  </si>
  <si>
    <t xml:space="preserve">Personas capacitadas </t>
  </si>
  <si>
    <t>Personas afectadas por situaciones de emergencia, desastre o declaratorias de calamidad pública apoyadas</t>
  </si>
  <si>
    <t>0</t>
  </si>
  <si>
    <t>6</t>
  </si>
  <si>
    <t>12</t>
  </si>
  <si>
    <t>SECTOR / PROGRAMA</t>
  </si>
  <si>
    <t>% RP</t>
  </si>
  <si>
    <t>% OBLIGADO</t>
  </si>
  <si>
    <t>PLAN OPERATIVO ANUAL DE INVERSIÓN POAI  2024
PARTICIPACIÓN POR UNIDAD EJECUTORA
SECTOR CENTRAL</t>
  </si>
  <si>
    <t>Nombre</t>
  </si>
  <si>
    <t>Valor</t>
  </si>
  <si>
    <t>% Participación</t>
  </si>
  <si>
    <t xml:space="preserve">Administrativa </t>
  </si>
  <si>
    <t>Hacienda y Finanzas Públicas</t>
  </si>
  <si>
    <t>Agricultura Desarrollo Rural y Medio Ambiente</t>
  </si>
  <si>
    <t>Tecnologías de la Información y Comunicación</t>
  </si>
  <si>
    <t>Total Inversión</t>
  </si>
  <si>
    <t>PLAN OPERATIVO ANUAL DE INVERSIÓN POAI  2024
PARTICIPACIÓN POR UNIDAD EJECUTORA
ENTES DESCENTRALIZADOS</t>
  </si>
  <si>
    <t xml:space="preserve">Indeportes </t>
  </si>
  <si>
    <t xml:space="preserve">Instituto Departamental de Tránsito </t>
  </si>
  <si>
    <t>TOTAL POAI 2024</t>
  </si>
  <si>
    <t>190305000
190304500</t>
  </si>
  <si>
    <t>190303801
190502402</t>
  </si>
  <si>
    <t>FECHA: NOVIEMBRE 30 DE 2024</t>
  </si>
  <si>
    <t>Impuesto al Registro 20% Fonpet</t>
  </si>
  <si>
    <t>Cofinanciación Nación</t>
  </si>
  <si>
    <t>CONSOLIDADO EJECUCIÓN GASTOS DE INVERSIÓN DEPARTAMENTAL
Noviembre 30 2024</t>
  </si>
  <si>
    <t xml:space="preserve">PLAN OPERATIVO ANUAL DE INVERSIONES POAI  2024
REPORTE EJECUCIÓN POR PROGRAMAS DE INVERSIÓN
NOVIEMBRE 30 VIGENCIA 2024
</t>
  </si>
  <si>
    <t xml:space="preserve">PLAN OPERATIVO ANUAL DE INVERSIONES POAI  2024
REPORTE EJECUCIÓN POR PROYECTOS DE INVERSION
NOVIEMBRE 30 DE VIGENCIA 2024
</t>
  </si>
  <si>
    <t>PLAN OPERATIVO ANUAL DE INVERSIONES POAI
REPORTE POR UNIDADES EJECUTORAS POR FUENTES DE FINANCIACION
NOVIEMBRE 30 DE 2024</t>
  </si>
  <si>
    <t>% CD</t>
  </si>
  <si>
    <t>%  DISP.</t>
  </si>
  <si>
    <t>SECTOR CENTRAL</t>
  </si>
  <si>
    <t>DESCENTRALIZADOS</t>
  </si>
  <si>
    <t>Sector Central</t>
  </si>
  <si>
    <t>Sector Descentralizado</t>
  </si>
  <si>
    <t>3</t>
  </si>
  <si>
    <t>856</t>
  </si>
  <si>
    <t>8</t>
  </si>
  <si>
    <t>5</t>
  </si>
  <si>
    <t>20</t>
  </si>
  <si>
    <t>30</t>
  </si>
  <si>
    <t>28</t>
  </si>
  <si>
    <t>%</t>
  </si>
  <si>
    <t>SECTOR</t>
  </si>
  <si>
    <t>TOTAL INVERSION</t>
  </si>
  <si>
    <t>324 SECRETARÍA DE TECNOLOGÍA DE LA INFORMACIÓN Y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</si>
</sst>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quot;$&quot;* #,##0_-;\-&quot;$&quot;* #,##0_-;_-&quot;$&quot;* &quot;-&quot;_-;_-@_-"/>
    <numFmt numFmtId="165" formatCode="_([$$-240A]\ * #,##0.00_);_([$$-240A]\ * \(#,##0.00\);_([$$-240A]\ * &quot;-&quot;??_);_(@_)"/>
    <numFmt numFmtId="166" formatCode="00"/>
    <numFmt numFmtId="167" formatCode="_([$$-240A]\ * #,##0.0_);_([$$-240A]\ * \(#,##0.0\);_([$$-240A]\ * &quot;-&quot;??_);_(@_)"/>
    <numFmt numFmtId="168" formatCode="_(* #,##0.00_);_(* \(#,##0.00\);_(* &quot;-&quot;??_);_(@_)"/>
    <numFmt numFmtId="169" formatCode="_-* #,##0.0_-;\-* #,##0.0_-;_-* &quot;-&quot;??_-;_-@_-"/>
    <numFmt numFmtId="170" formatCode="&quot;$&quot;\ #,##0.00"/>
    <numFmt numFmtId="171" formatCode="_(&quot;$&quot;\ * #,##0.00_);_(&quot;$&quot;\ * \(#,##0.00\);_(&quot;$&quot;\ * &quot;-&quot;??_);_(@_)"/>
    <numFmt numFmtId="172" formatCode="_-&quot;$&quot;\ * #,##0.00_-;\-&quot;$&quot;\ * #,##0.00_-;_-&quot;$&quot;\ * &quot;-&quot;_-;_-@_-"/>
    <numFmt numFmtId="173" formatCode="_-* #,##0_-;\-* #,##0_-;_-* &quot;-&quot;??_-;_-@_-"/>
    <numFmt numFmtId="175" formatCode="_(* #,##0_);_(* \(#,##0\);_(* &quot;-&quot;??_);_(@_)"/>
    <numFmt numFmtId="176" formatCode="_ [$€-2]\ * #,##0.00_ ;_ [$€-2]\ * \-#,##0.00_ ;_ [$€-2]\ * &quot;-&quot;??_ "/>
    <numFmt numFmtId="177" formatCode="0.0"/>
    <numFmt numFmtId="178" formatCode="_(* #,##0.0_);_(* \(#,##0.0\);_(* &quot;-&quot;??_);_(@_)"/>
  </numFmts>
  <fonts count="29" x14ac:knownFonts="1">
    <font>
      <sz val="11"/>
      <color theme="1"/>
      <name val="Calibri"/>
      <family val="2"/>
      <scheme val="minor"/>
    </font>
    <font>
      <sz val="11"/>
      <color theme="1"/>
      <name val="Calibri"/>
      <family val="2"/>
      <scheme val="minor"/>
    </font>
    <font>
      <sz val="12"/>
      <name val="Arial"/>
      <family val="2"/>
    </font>
    <font>
      <b/>
      <sz val="10"/>
      <name val="Arial"/>
      <family val="2"/>
    </font>
    <font>
      <b/>
      <sz val="10"/>
      <color theme="1"/>
      <name val="Arial"/>
      <family val="2"/>
    </font>
    <font>
      <sz val="10"/>
      <name val="Arial"/>
      <family val="2"/>
    </font>
    <font>
      <sz val="11"/>
      <color indexed="8"/>
      <name val="Calibri"/>
      <family val="2"/>
    </font>
    <font>
      <b/>
      <sz val="11"/>
      <color rgb="FF6F6F6E"/>
      <name val="Calibri"/>
      <family val="2"/>
      <scheme val="minor"/>
    </font>
    <font>
      <sz val="10"/>
      <color rgb="FF000000"/>
      <name val="Arial"/>
      <family val="2"/>
    </font>
    <font>
      <sz val="9"/>
      <color indexed="81"/>
      <name val="Tahoma"/>
      <family val="2"/>
    </font>
    <font>
      <b/>
      <sz val="9"/>
      <color indexed="81"/>
      <name val="Tahoma"/>
      <family val="2"/>
    </font>
    <font>
      <b/>
      <sz val="10"/>
      <color rgb="FF000000"/>
      <name val="Arial"/>
      <family val="2"/>
    </font>
    <font>
      <sz val="10"/>
      <color theme="1"/>
      <name val="Arial"/>
      <family val="2"/>
    </font>
    <font>
      <b/>
      <sz val="12"/>
      <name val="Arial"/>
      <family val="2"/>
    </font>
    <font>
      <b/>
      <sz val="10"/>
      <color theme="0" tint="-0.14999847407452621"/>
      <name val="Arial"/>
      <family val="2"/>
    </font>
    <font>
      <b/>
      <sz val="11"/>
      <color theme="0"/>
      <name val="Calibri"/>
      <family val="2"/>
      <scheme val="minor"/>
    </font>
    <font>
      <sz val="11"/>
      <color theme="0"/>
      <name val="Calibri"/>
      <family val="2"/>
      <scheme val="minor"/>
    </font>
    <font>
      <sz val="10"/>
      <color theme="1"/>
      <name val="Calibri"/>
      <family val="2"/>
      <scheme val="minor"/>
    </font>
    <font>
      <b/>
      <sz val="10"/>
      <color theme="0"/>
      <name val="Arial"/>
      <family val="2"/>
    </font>
    <font>
      <sz val="11"/>
      <name val="Arial"/>
      <family val="2"/>
    </font>
    <font>
      <sz val="11"/>
      <name val="Calibri"/>
      <family val="2"/>
      <scheme val="minor"/>
    </font>
    <font>
      <sz val="12"/>
      <color theme="0"/>
      <name val="Arial"/>
      <family val="2"/>
    </font>
    <font>
      <b/>
      <sz val="12"/>
      <color rgb="FF595959"/>
      <name val="Arial"/>
      <family val="2"/>
    </font>
    <font>
      <b/>
      <sz val="11"/>
      <name val="Calibri"/>
      <family val="2"/>
      <scheme val="minor"/>
    </font>
    <font>
      <b/>
      <sz val="12"/>
      <color theme="1"/>
      <name val="Calibri"/>
      <family val="2"/>
      <scheme val="minor"/>
    </font>
    <font>
      <sz val="12"/>
      <color theme="1"/>
      <name val="Arial"/>
      <family val="2"/>
    </font>
    <font>
      <b/>
      <sz val="14"/>
      <color theme="1"/>
      <name val="Arial"/>
      <family val="2"/>
    </font>
    <font>
      <sz val="10"/>
      <color theme="1"/>
      <name val="Calibri"/>
      <family val="2"/>
    </font>
    <font>
      <b/>
      <sz val="16"/>
      <color theme="1"/>
      <name val="Arial"/>
      <family val="2"/>
    </font>
  </fonts>
  <fills count="18">
    <fill>
      <patternFill patternType="none"/>
    </fill>
    <fill>
      <patternFill patternType="gray125"/>
    </fill>
    <fill>
      <patternFill patternType="solid">
        <fgColor theme="3" tint="0.79998168889431442"/>
        <bgColor indexed="64"/>
      </patternFill>
    </fill>
    <fill>
      <patternFill patternType="solid">
        <fgColor rgb="FFECECEC"/>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9998168889431442"/>
        <bgColor rgb="FF000000"/>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D6DCE4"/>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FFC000"/>
        <bgColor indexed="64"/>
      </patternFill>
    </fill>
    <fill>
      <patternFill patternType="solid">
        <fgColor rgb="FF0075BF"/>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top/>
      <bottom style="thin">
        <color rgb="FF000000"/>
      </bottom>
      <diagonal/>
    </border>
  </borders>
  <cellStyleXfs count="27">
    <xf numFmtId="165" fontId="0" fillId="0" borderId="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8" fontId="6" fillId="0" borderId="0" applyFont="0" applyFill="0" applyBorder="0" applyAlignment="0" applyProtection="0"/>
    <xf numFmtId="0" fontId="1" fillId="0" borderId="0"/>
    <xf numFmtId="165" fontId="7" fillId="3" borderId="6">
      <alignment horizontal="center" vertical="center" wrapText="1"/>
    </xf>
    <xf numFmtId="0" fontId="7" fillId="3" borderId="6">
      <alignment horizontal="center" vertical="center" wrapText="1"/>
    </xf>
    <xf numFmtId="168"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1" fontId="1" fillId="0" borderId="0" applyFont="0" applyFill="0" applyBorder="0" applyAlignment="0" applyProtection="0"/>
    <xf numFmtId="9" fontId="6" fillId="0" borderId="0" applyFont="0" applyFill="0" applyBorder="0" applyAlignment="0" applyProtection="0"/>
    <xf numFmtId="0" fontId="1" fillId="0" borderId="0"/>
    <xf numFmtId="176"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176"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577">
    <xf numFmtId="165" fontId="0" fillId="0" borderId="0" xfId="0"/>
    <xf numFmtId="165" fontId="4" fillId="0" borderId="3" xfId="0" applyFont="1" applyBorder="1" applyAlignment="1">
      <alignment horizontal="center" vertical="center"/>
    </xf>
    <xf numFmtId="165" fontId="5" fillId="0" borderId="0" xfId="0" applyFont="1" applyAlignment="1">
      <alignment horizontal="center"/>
    </xf>
    <xf numFmtId="165" fontId="8" fillId="0" borderId="3" xfId="0" applyFont="1" applyBorder="1" applyAlignment="1">
      <alignment horizontal="justify" vertical="center" wrapText="1"/>
    </xf>
    <xf numFmtId="165" fontId="5" fillId="0" borderId="7" xfId="0" applyFont="1" applyBorder="1" applyAlignment="1">
      <alignment horizontal="justify" vertical="center" wrapText="1"/>
    </xf>
    <xf numFmtId="0" fontId="4" fillId="2" borderId="3" xfId="0" applyNumberFormat="1" applyFont="1" applyFill="1" applyBorder="1" applyAlignment="1">
      <alignment vertical="center"/>
    </xf>
    <xf numFmtId="165" fontId="11" fillId="13" borderId="3" xfId="0" applyFont="1" applyFill="1" applyBorder="1" applyAlignment="1">
      <alignment horizontal="center" vertical="center" wrapText="1"/>
    </xf>
    <xf numFmtId="43" fontId="8" fillId="0" borderId="3" xfId="1" applyFont="1" applyFill="1" applyBorder="1" applyAlignment="1">
      <alignment horizontal="center" vertical="center" wrapText="1"/>
    </xf>
    <xf numFmtId="166" fontId="12" fillId="0" borderId="3" xfId="0" applyNumberFormat="1" applyFont="1" applyBorder="1" applyAlignment="1">
      <alignment horizontal="center" vertical="center"/>
    </xf>
    <xf numFmtId="14" fontId="12" fillId="0" borderId="3" xfId="0" applyNumberFormat="1" applyFont="1" applyBorder="1" applyAlignment="1">
      <alignment horizontal="center" vertical="center"/>
    </xf>
    <xf numFmtId="165" fontId="11" fillId="13" borderId="3" xfId="0" applyFont="1" applyFill="1" applyBorder="1" applyAlignment="1">
      <alignment horizontal="justify" vertical="center" wrapText="1"/>
    </xf>
    <xf numFmtId="0" fontId="4" fillId="2" borderId="3" xfId="0" applyNumberFormat="1" applyFont="1" applyFill="1" applyBorder="1" applyAlignment="1">
      <alignment horizontal="center" vertical="center"/>
    </xf>
    <xf numFmtId="0" fontId="4" fillId="2" borderId="3" xfId="0" applyNumberFormat="1" applyFont="1" applyFill="1" applyBorder="1" applyAlignment="1">
      <alignment horizontal="justify" vertical="center"/>
    </xf>
    <xf numFmtId="0" fontId="12" fillId="0" borderId="3" xfId="0" applyNumberFormat="1" applyFont="1" applyBorder="1" applyAlignment="1">
      <alignment horizontal="center" vertical="center"/>
    </xf>
    <xf numFmtId="0" fontId="12" fillId="0" borderId="3" xfId="0" applyNumberFormat="1" applyFont="1" applyBorder="1" applyAlignment="1">
      <alignment horizontal="justify" vertical="center"/>
    </xf>
    <xf numFmtId="1" fontId="12" fillId="0" borderId="3" xfId="0" applyNumberFormat="1" applyFont="1" applyBorder="1" applyAlignment="1">
      <alignment horizontal="center" vertical="center"/>
    </xf>
    <xf numFmtId="0" fontId="14" fillId="2" borderId="3" xfId="0" applyNumberFormat="1" applyFont="1" applyFill="1" applyBorder="1" applyAlignment="1">
      <alignment horizontal="center" vertical="center"/>
    </xf>
    <xf numFmtId="165" fontId="17" fillId="0" borderId="3" xfId="0" applyFont="1" applyBorder="1" applyAlignment="1">
      <alignment horizontal="justify" vertical="center" wrapText="1"/>
    </xf>
    <xf numFmtId="0" fontId="12" fillId="0" borderId="0" xfId="15" applyFont="1"/>
    <xf numFmtId="9" fontId="5" fillId="0" borderId="3" xfId="14" applyFont="1" applyBorder="1" applyAlignment="1">
      <alignment horizontal="center" vertical="center"/>
    </xf>
    <xf numFmtId="10" fontId="5" fillId="0" borderId="3" xfId="14" applyNumberFormat="1" applyFont="1" applyBorder="1" applyAlignment="1">
      <alignment horizontal="center" vertical="center"/>
    </xf>
    <xf numFmtId="10" fontId="12" fillId="0" borderId="3" xfId="14" applyNumberFormat="1" applyFont="1" applyBorder="1" applyAlignment="1">
      <alignment horizontal="center" vertical="center"/>
    </xf>
    <xf numFmtId="0" fontId="12" fillId="0" borderId="0" xfId="15" applyFont="1" applyAlignment="1">
      <alignment vertical="center"/>
    </xf>
    <xf numFmtId="0" fontId="5" fillId="0" borderId="0" xfId="15" applyFont="1" applyAlignment="1">
      <alignment vertical="center"/>
    </xf>
    <xf numFmtId="9" fontId="3" fillId="2" borderId="3" xfId="14" applyFont="1" applyFill="1" applyBorder="1" applyAlignment="1">
      <alignment horizontal="center" vertical="center"/>
    </xf>
    <xf numFmtId="10" fontId="3" fillId="2" borderId="3" xfId="14" applyNumberFormat="1" applyFont="1" applyFill="1" applyBorder="1" applyAlignment="1">
      <alignment horizontal="center" vertical="center"/>
    </xf>
    <xf numFmtId="0" fontId="4" fillId="0" borderId="0" xfId="15" applyFont="1" applyAlignment="1">
      <alignment vertical="center"/>
    </xf>
    <xf numFmtId="175" fontId="12" fillId="0" borderId="0" xfId="12" applyNumberFormat="1" applyFont="1"/>
    <xf numFmtId="0" fontId="3" fillId="2" borderId="12" xfId="15" applyFont="1" applyFill="1" applyBorder="1" applyAlignment="1">
      <alignment horizontal="left" vertical="center"/>
    </xf>
    <xf numFmtId="0" fontId="12" fillId="0" borderId="0" xfId="15" applyFont="1" applyAlignment="1">
      <alignment horizontal="left"/>
    </xf>
    <xf numFmtId="175" fontId="5" fillId="0" borderId="0" xfId="12" applyNumberFormat="1" applyFont="1" applyFill="1" applyBorder="1"/>
    <xf numFmtId="0" fontId="19" fillId="0" borderId="0" xfId="15" applyFont="1" applyAlignment="1">
      <alignment horizontal="left" vertical="center"/>
    </xf>
    <xf numFmtId="168" fontId="19" fillId="0" borderId="0" xfId="12" applyNumberFormat="1" applyFont="1" applyFill="1" applyBorder="1" applyAlignment="1">
      <alignment vertical="center"/>
    </xf>
    <xf numFmtId="9" fontId="19" fillId="0" borderId="0" xfId="14" applyFont="1" applyFill="1" applyBorder="1" applyAlignment="1">
      <alignment horizontal="center" vertical="center"/>
    </xf>
    <xf numFmtId="175" fontId="19" fillId="0" borderId="0" xfId="12" applyNumberFormat="1" applyFont="1" applyFill="1"/>
    <xf numFmtId="0" fontId="15" fillId="4" borderId="0" xfId="15" applyFont="1" applyFill="1"/>
    <xf numFmtId="43" fontId="20" fillId="4" borderId="0" xfId="15" applyNumberFormat="1" applyFont="1" applyFill="1" applyAlignment="1">
      <alignment horizontal="center"/>
    </xf>
    <xf numFmtId="9" fontId="16" fillId="4" borderId="0" xfId="11" applyFont="1" applyFill="1" applyBorder="1" applyAlignment="1">
      <alignment horizontal="center"/>
    </xf>
    <xf numFmtId="9" fontId="20" fillId="4" borderId="0" xfId="11" applyFont="1" applyFill="1" applyBorder="1" applyAlignment="1">
      <alignment horizontal="center"/>
    </xf>
    <xf numFmtId="168" fontId="12" fillId="0" borderId="0" xfId="12" applyNumberFormat="1" applyFont="1"/>
    <xf numFmtId="0" fontId="15" fillId="4" borderId="0" xfId="15" applyFont="1" applyFill="1" applyAlignment="1">
      <alignment horizontal="center"/>
    </xf>
    <xf numFmtId="175" fontId="5" fillId="0" borderId="0" xfId="12" applyNumberFormat="1" applyFont="1"/>
    <xf numFmtId="0" fontId="16" fillId="4" borderId="0" xfId="15" applyFont="1" applyFill="1"/>
    <xf numFmtId="175" fontId="21" fillId="4" borderId="0" xfId="12" applyNumberFormat="1" applyFont="1" applyFill="1" applyBorder="1"/>
    <xf numFmtId="9" fontId="21" fillId="4" borderId="0" xfId="11" applyFont="1" applyFill="1" applyBorder="1" applyAlignment="1">
      <alignment horizontal="center" vertical="center"/>
    </xf>
    <xf numFmtId="9" fontId="2" fillId="0" borderId="0" xfId="11" applyFont="1" applyFill="1" applyBorder="1" applyAlignment="1">
      <alignment horizontal="center" vertical="center"/>
    </xf>
    <xf numFmtId="9" fontId="2" fillId="4" borderId="0" xfId="11" applyFont="1" applyFill="1" applyBorder="1" applyAlignment="1">
      <alignment horizontal="center" vertical="center"/>
    </xf>
    <xf numFmtId="10" fontId="21" fillId="4" borderId="0" xfId="11" applyNumberFormat="1" applyFont="1" applyFill="1" applyBorder="1" applyAlignment="1">
      <alignment horizontal="center" vertical="center"/>
    </xf>
    <xf numFmtId="165" fontId="22" fillId="0" borderId="0" xfId="0" applyFont="1" applyAlignment="1">
      <alignment horizontal="center" vertical="center" readingOrder="1"/>
    </xf>
    <xf numFmtId="10" fontId="21" fillId="4" borderId="0" xfId="11" applyNumberFormat="1" applyFont="1" applyFill="1" applyBorder="1" applyAlignment="1">
      <alignment horizontal="center"/>
    </xf>
    <xf numFmtId="168" fontId="16" fillId="4" borderId="0" xfId="15" applyNumberFormat="1" applyFont="1" applyFill="1" applyAlignment="1">
      <alignment horizontal="left"/>
    </xf>
    <xf numFmtId="0" fontId="5" fillId="0" borderId="0" xfId="15" applyFont="1"/>
    <xf numFmtId="10" fontId="5" fillId="0" borderId="0" xfId="11" applyNumberFormat="1" applyFont="1" applyFill="1" applyBorder="1"/>
    <xf numFmtId="175" fontId="18" fillId="17" borderId="3" xfId="12" applyNumberFormat="1" applyFont="1" applyFill="1" applyBorder="1" applyAlignment="1">
      <alignment horizontal="center" vertical="center" wrapText="1"/>
    </xf>
    <xf numFmtId="168" fontId="18" fillId="17" borderId="3" xfId="12" applyNumberFormat="1" applyFont="1" applyFill="1" applyBorder="1" applyAlignment="1">
      <alignment horizontal="center" vertical="center" wrapText="1"/>
    </xf>
    <xf numFmtId="0" fontId="12" fillId="0" borderId="3" xfId="15" applyFont="1" applyBorder="1" applyAlignment="1">
      <alignment horizontal="justify" vertical="center" wrapText="1"/>
    </xf>
    <xf numFmtId="0" fontId="20" fillId="4" borderId="0" xfId="15" applyFont="1" applyFill="1"/>
    <xf numFmtId="175" fontId="2" fillId="4" borderId="0" xfId="12" applyNumberFormat="1" applyFont="1" applyFill="1" applyBorder="1"/>
    <xf numFmtId="10" fontId="2" fillId="4" borderId="0" xfId="11" applyNumberFormat="1" applyFont="1" applyFill="1" applyBorder="1" applyAlignment="1">
      <alignment horizontal="center"/>
    </xf>
    <xf numFmtId="168" fontId="20" fillId="4" borderId="0" xfId="15" applyNumberFormat="1" applyFont="1" applyFill="1" applyAlignment="1">
      <alignment horizontal="left"/>
    </xf>
    <xf numFmtId="0" fontId="5" fillId="4" borderId="0" xfId="15" applyFont="1" applyFill="1" applyAlignment="1">
      <alignment horizontal="left"/>
    </xf>
    <xf numFmtId="175" fontId="5" fillId="4" borderId="0" xfId="12" applyNumberFormat="1" applyFont="1" applyFill="1"/>
    <xf numFmtId="175" fontId="5" fillId="4" borderId="0" xfId="12" applyNumberFormat="1" applyFont="1" applyFill="1" applyBorder="1"/>
    <xf numFmtId="10" fontId="5" fillId="4" borderId="0" xfId="11" applyNumberFormat="1" applyFont="1" applyFill="1" applyBorder="1"/>
    <xf numFmtId="0" fontId="23" fillId="4" borderId="0" xfId="15" applyFont="1" applyFill="1"/>
    <xf numFmtId="0" fontId="23" fillId="4" borderId="0" xfId="15" applyFont="1" applyFill="1" applyAlignment="1">
      <alignment horizontal="center"/>
    </xf>
    <xf numFmtId="10" fontId="2" fillId="4" borderId="0" xfId="11" applyNumberFormat="1" applyFont="1" applyFill="1" applyBorder="1" applyAlignment="1">
      <alignment horizontal="center" vertical="center"/>
    </xf>
    <xf numFmtId="0" fontId="5" fillId="0" borderId="0" xfId="15" applyFont="1" applyAlignment="1">
      <alignment horizontal="left"/>
    </xf>
    <xf numFmtId="165" fontId="17" fillId="0" borderId="0" xfId="0" applyFont="1"/>
    <xf numFmtId="0" fontId="3" fillId="14" borderId="14" xfId="0" applyNumberFormat="1" applyFont="1" applyFill="1" applyBorder="1" applyAlignment="1">
      <alignment horizontal="left" vertical="center"/>
    </xf>
    <xf numFmtId="43" fontId="3" fillId="14" borderId="7" xfId="1" applyFont="1" applyFill="1" applyBorder="1" applyAlignment="1">
      <alignment horizontal="center" vertical="center"/>
    </xf>
    <xf numFmtId="0" fontId="5" fillId="0" borderId="8" xfId="0" applyNumberFormat="1" applyFont="1" applyBorder="1" applyAlignment="1">
      <alignment vertical="center"/>
    </xf>
    <xf numFmtId="43" fontId="5" fillId="0" borderId="7" xfId="1" applyFont="1" applyFill="1" applyBorder="1" applyAlignment="1">
      <alignment horizontal="left" vertical="center"/>
    </xf>
    <xf numFmtId="0" fontId="3" fillId="14" borderId="23" xfId="0" applyNumberFormat="1" applyFont="1" applyFill="1" applyBorder="1" applyAlignment="1">
      <alignment horizontal="left" vertical="center"/>
    </xf>
    <xf numFmtId="43" fontId="3" fillId="14" borderId="24" xfId="1" applyFont="1" applyFill="1" applyBorder="1" applyAlignment="1">
      <alignment horizontal="center" vertical="center"/>
    </xf>
    <xf numFmtId="0" fontId="5" fillId="0" borderId="7" xfId="0" applyNumberFormat="1" applyFont="1" applyBorder="1" applyAlignment="1">
      <alignment vertical="center"/>
    </xf>
    <xf numFmtId="165" fontId="5" fillId="0" borderId="14" xfId="0" applyFont="1" applyBorder="1" applyAlignment="1">
      <alignment horizontal="justify" vertical="center" wrapText="1"/>
    </xf>
    <xf numFmtId="43" fontId="5" fillId="0" borderId="14" xfId="1" applyFont="1" applyFill="1" applyBorder="1" applyAlignment="1">
      <alignment horizontal="left" vertical="center"/>
    </xf>
    <xf numFmtId="0" fontId="3" fillId="14" borderId="14" xfId="0" applyNumberFormat="1" applyFont="1" applyFill="1" applyBorder="1" applyAlignment="1">
      <alignment horizontal="justify" vertical="center" wrapText="1"/>
    </xf>
    <xf numFmtId="165" fontId="5" fillId="0" borderId="8" xfId="0" applyFont="1" applyBorder="1" applyAlignment="1">
      <alignment horizontal="justify" vertical="center" wrapText="1"/>
    </xf>
    <xf numFmtId="165" fontId="5" fillId="0" borderId="17" xfId="0" applyFont="1" applyBorder="1" applyAlignment="1">
      <alignment horizontal="justify" vertical="center" wrapText="1"/>
    </xf>
    <xf numFmtId="0" fontId="3" fillId="14" borderId="25" xfId="0" applyNumberFormat="1" applyFont="1" applyFill="1" applyBorder="1" applyAlignment="1">
      <alignment horizontal="left" vertical="center"/>
    </xf>
    <xf numFmtId="43" fontId="3" fillId="14" borderId="25" xfId="1" applyFont="1" applyFill="1" applyBorder="1" applyAlignment="1">
      <alignment horizontal="center" vertical="center"/>
    </xf>
    <xf numFmtId="43" fontId="5" fillId="0" borderId="16" xfId="1" applyFont="1" applyFill="1" applyBorder="1" applyAlignment="1">
      <alignment horizontal="left" vertical="center"/>
    </xf>
    <xf numFmtId="0" fontId="3" fillId="14" borderId="14" xfId="0" applyNumberFormat="1" applyFont="1" applyFill="1" applyBorder="1" applyAlignment="1">
      <alignment horizontal="justify" vertical="center"/>
    </xf>
    <xf numFmtId="43" fontId="3" fillId="14" borderId="14" xfId="1" applyFont="1" applyFill="1" applyBorder="1" applyAlignment="1">
      <alignment horizontal="center" vertical="center"/>
    </xf>
    <xf numFmtId="0" fontId="3" fillId="14" borderId="19" xfId="0" applyNumberFormat="1" applyFont="1" applyFill="1" applyBorder="1" applyAlignment="1">
      <alignment horizontal="left" vertical="center"/>
    </xf>
    <xf numFmtId="43" fontId="3" fillId="14" borderId="16" xfId="1" applyFont="1" applyFill="1" applyBorder="1" applyAlignment="1">
      <alignment horizontal="center" vertical="center"/>
    </xf>
    <xf numFmtId="0" fontId="5" fillId="0" borderId="17" xfId="0" applyNumberFormat="1" applyFont="1" applyBorder="1" applyAlignment="1">
      <alignment vertical="center"/>
    </xf>
    <xf numFmtId="43" fontId="5" fillId="0" borderId="7" xfId="1" applyFont="1" applyFill="1" applyBorder="1" applyAlignment="1">
      <alignment vertical="center"/>
    </xf>
    <xf numFmtId="0" fontId="5" fillId="0" borderId="14" xfId="0" applyNumberFormat="1" applyFont="1" applyBorder="1" applyAlignment="1">
      <alignment vertical="center"/>
    </xf>
    <xf numFmtId="43" fontId="5" fillId="0" borderId="14" xfId="1" applyFont="1" applyFill="1" applyBorder="1" applyAlignment="1">
      <alignment vertical="center"/>
    </xf>
    <xf numFmtId="0" fontId="5" fillId="0" borderId="3" xfId="0" applyNumberFormat="1" applyFont="1" applyBorder="1" applyAlignment="1">
      <alignment vertical="center"/>
    </xf>
    <xf numFmtId="43" fontId="5" fillId="0" borderId="3" xfId="1" applyFont="1" applyFill="1" applyBorder="1" applyAlignment="1">
      <alignment vertical="center"/>
    </xf>
    <xf numFmtId="0" fontId="3" fillId="14" borderId="7" xfId="0" applyNumberFormat="1" applyFont="1" applyFill="1" applyBorder="1" applyAlignment="1">
      <alignment horizontal="justify" vertical="center"/>
    </xf>
    <xf numFmtId="0" fontId="3" fillId="2" borderId="7" xfId="0" applyNumberFormat="1" applyFont="1" applyFill="1" applyBorder="1" applyAlignment="1">
      <alignment horizontal="left" vertical="center"/>
    </xf>
    <xf numFmtId="43" fontId="3" fillId="2" borderId="7" xfId="1" applyFont="1" applyFill="1" applyBorder="1" applyAlignment="1">
      <alignment horizontal="left" vertical="center" wrapText="1"/>
    </xf>
    <xf numFmtId="165" fontId="5" fillId="0" borderId="8" xfId="0" applyFont="1" applyBorder="1" applyAlignment="1">
      <alignment horizontal="justify" vertical="center"/>
    </xf>
    <xf numFmtId="0" fontId="3" fillId="14" borderId="7" xfId="0" applyNumberFormat="1" applyFont="1" applyFill="1" applyBorder="1" applyAlignment="1">
      <alignment horizontal="justify" vertical="center" wrapText="1"/>
    </xf>
    <xf numFmtId="43" fontId="3" fillId="2" borderId="7" xfId="1" applyFont="1" applyFill="1" applyBorder="1" applyAlignment="1">
      <alignment horizontal="left" vertical="center"/>
    </xf>
    <xf numFmtId="165" fontId="12" fillId="0" borderId="0" xfId="0" applyFont="1"/>
    <xf numFmtId="43" fontId="4" fillId="11" borderId="3" xfId="1" applyFont="1" applyFill="1" applyBorder="1" applyAlignment="1">
      <alignment horizontal="center" vertical="center" wrapText="1"/>
    </xf>
    <xf numFmtId="0" fontId="12" fillId="0" borderId="3" xfId="1" applyNumberFormat="1" applyFont="1" applyBorder="1" applyAlignment="1">
      <alignment horizontal="center" vertical="center"/>
    </xf>
    <xf numFmtId="43" fontId="12" fillId="0" borderId="3" xfId="1" applyFont="1" applyBorder="1" applyAlignment="1">
      <alignment horizontal="justify" vertical="center"/>
    </xf>
    <xf numFmtId="165" fontId="12" fillId="0" borderId="0" xfId="0" applyFont="1" applyAlignment="1">
      <alignment vertical="center"/>
    </xf>
    <xf numFmtId="43" fontId="12" fillId="0" borderId="0" xfId="1" applyFont="1"/>
    <xf numFmtId="0" fontId="12" fillId="0" borderId="0" xfId="0" applyNumberFormat="1" applyFont="1" applyAlignment="1">
      <alignment horizontal="center"/>
    </xf>
    <xf numFmtId="0" fontId="12" fillId="0" borderId="0" xfId="0" applyNumberFormat="1" applyFont="1" applyAlignment="1">
      <alignment horizontal="justify"/>
    </xf>
    <xf numFmtId="1" fontId="17" fillId="0" borderId="3" xfId="0" applyNumberFormat="1" applyFont="1" applyBorder="1" applyAlignment="1">
      <alignment horizontal="center" vertical="center"/>
    </xf>
    <xf numFmtId="1" fontId="17" fillId="0" borderId="3" xfId="0" applyNumberFormat="1" applyFont="1" applyBorder="1" applyAlignment="1">
      <alignment horizontal="justify" vertical="center"/>
    </xf>
    <xf numFmtId="1" fontId="17" fillId="0" borderId="3" xfId="0" applyNumberFormat="1" applyFont="1" applyBorder="1" applyAlignment="1">
      <alignment horizontal="justify" vertical="center" wrapText="1"/>
    </xf>
    <xf numFmtId="165" fontId="17" fillId="0" borderId="3" xfId="0" applyFont="1" applyBorder="1" applyAlignment="1">
      <alignment horizontal="justify" vertical="center"/>
    </xf>
    <xf numFmtId="0" fontId="17" fillId="0" borderId="3" xfId="0" applyNumberFormat="1" applyFont="1" applyBorder="1" applyAlignment="1">
      <alignment horizontal="justify" vertical="center" wrapText="1"/>
    </xf>
    <xf numFmtId="49" fontId="17" fillId="0" borderId="3" xfId="0" applyNumberFormat="1" applyFont="1" applyBorder="1" applyAlignment="1">
      <alignment horizontal="justify" vertical="center" wrapText="1"/>
    </xf>
    <xf numFmtId="0" fontId="17" fillId="0" borderId="3" xfId="1" applyNumberFormat="1" applyFont="1" applyBorder="1" applyAlignment="1">
      <alignment horizontal="justify" vertical="center"/>
    </xf>
    <xf numFmtId="3" fontId="17" fillId="0" borderId="3" xfId="0" applyNumberFormat="1" applyFont="1" applyBorder="1" applyAlignment="1">
      <alignment horizontal="justify" vertical="center" wrapText="1"/>
    </xf>
    <xf numFmtId="165" fontId="17" fillId="0" borderId="0" xfId="0" applyFont="1" applyAlignment="1">
      <alignment horizontal="center" vertical="center"/>
    </xf>
    <xf numFmtId="165" fontId="17" fillId="0" borderId="0" xfId="0" applyFont="1" applyAlignment="1">
      <alignment horizontal="justify" vertical="center"/>
    </xf>
    <xf numFmtId="43" fontId="17" fillId="0" borderId="3" xfId="1" applyFont="1" applyBorder="1" applyAlignment="1">
      <alignment vertical="center"/>
    </xf>
    <xf numFmtId="165" fontId="3" fillId="0" borderId="0" xfId="0" applyFont="1" applyAlignment="1">
      <alignment vertical="center" wrapText="1"/>
    </xf>
    <xf numFmtId="0" fontId="3" fillId="0" borderId="0" xfId="0" applyNumberFormat="1" applyFont="1" applyAlignment="1">
      <alignment horizontal="left" vertical="center"/>
    </xf>
    <xf numFmtId="43" fontId="3" fillId="0" borderId="0" xfId="1" applyFont="1" applyFill="1" applyBorder="1" applyAlignment="1">
      <alignment horizontal="left" vertical="center"/>
    </xf>
    <xf numFmtId="0" fontId="3" fillId="11" borderId="3" xfId="0" applyNumberFormat="1" applyFont="1" applyFill="1" applyBorder="1" applyAlignment="1">
      <alignment horizontal="left" vertical="center"/>
    </xf>
    <xf numFmtId="43" fontId="3" fillId="11" borderId="3" xfId="1" applyFont="1" applyFill="1" applyBorder="1" applyAlignment="1">
      <alignment horizontal="center" vertical="center"/>
    </xf>
    <xf numFmtId="9" fontId="2" fillId="4" borderId="0" xfId="11" applyFont="1" applyFill="1" applyBorder="1" applyAlignment="1">
      <alignment horizontal="center"/>
    </xf>
    <xf numFmtId="43" fontId="20" fillId="4" borderId="0" xfId="1" applyFont="1" applyFill="1" applyBorder="1" applyAlignment="1">
      <alignment horizontal="center"/>
    </xf>
    <xf numFmtId="165" fontId="3" fillId="12" borderId="3" xfId="0" applyFont="1" applyFill="1" applyBorder="1" applyAlignment="1">
      <alignment horizontal="center" vertical="center" wrapText="1"/>
    </xf>
    <xf numFmtId="175" fontId="3" fillId="12" borderId="3" xfId="4" applyNumberFormat="1" applyFont="1" applyFill="1" applyBorder="1" applyAlignment="1">
      <alignment horizontal="center" vertical="center" wrapText="1"/>
    </xf>
    <xf numFmtId="0" fontId="13" fillId="14" borderId="3" xfId="0" applyNumberFormat="1" applyFont="1" applyFill="1" applyBorder="1" applyAlignment="1">
      <alignment horizontal="center" vertical="center" wrapText="1"/>
    </xf>
    <xf numFmtId="43" fontId="13" fillId="14" borderId="3" xfId="1" applyFont="1" applyFill="1" applyBorder="1" applyAlignment="1">
      <alignment horizontal="center" vertical="center"/>
    </xf>
    <xf numFmtId="43" fontId="13" fillId="14" borderId="3" xfId="1" applyFont="1" applyFill="1" applyBorder="1" applyAlignment="1">
      <alignment vertical="center"/>
    </xf>
    <xf numFmtId="0" fontId="2" fillId="0" borderId="3" xfId="0" applyNumberFormat="1" applyFont="1" applyBorder="1" applyAlignment="1">
      <alignment horizontal="left" vertical="center" wrapText="1"/>
    </xf>
    <xf numFmtId="43" fontId="2" fillId="0" borderId="3" xfId="1" applyFont="1" applyFill="1" applyBorder="1" applyAlignment="1">
      <alignment horizontal="left" vertical="center"/>
    </xf>
    <xf numFmtId="10" fontId="2" fillId="0" borderId="3" xfId="11" applyNumberFormat="1" applyFont="1" applyFill="1" applyBorder="1" applyAlignment="1">
      <alignment horizontal="center" vertical="center"/>
    </xf>
    <xf numFmtId="0" fontId="2" fillId="4" borderId="3" xfId="0" applyNumberFormat="1" applyFont="1" applyFill="1" applyBorder="1" applyAlignment="1">
      <alignment horizontal="left" vertical="center" wrapText="1"/>
    </xf>
    <xf numFmtId="43" fontId="2" fillId="4" borderId="3" xfId="1" applyFont="1" applyFill="1" applyBorder="1" applyAlignment="1">
      <alignment horizontal="center" vertical="center" wrapText="1"/>
    </xf>
    <xf numFmtId="43" fontId="2" fillId="0" borderId="3" xfId="1" applyFont="1" applyFill="1" applyBorder="1" applyAlignment="1">
      <alignment horizontal="center" vertical="center" wrapText="1"/>
    </xf>
    <xf numFmtId="43" fontId="13" fillId="2" borderId="3" xfId="1" applyFont="1" applyFill="1" applyBorder="1" applyAlignment="1">
      <alignment horizontal="center" vertical="center" wrapText="1"/>
    </xf>
    <xf numFmtId="9" fontId="13" fillId="2" borderId="3" xfId="11" applyFont="1" applyFill="1" applyBorder="1" applyAlignment="1">
      <alignment horizontal="center" vertical="center"/>
    </xf>
    <xf numFmtId="165" fontId="24" fillId="12" borderId="3" xfId="0" applyFont="1" applyFill="1" applyBorder="1" applyAlignment="1">
      <alignment vertical="center"/>
    </xf>
    <xf numFmtId="165" fontId="5" fillId="0" borderId="7" xfId="0" applyFont="1" applyBorder="1" applyAlignment="1">
      <alignment horizontal="justify" vertical="center"/>
    </xf>
    <xf numFmtId="43" fontId="5" fillId="0" borderId="7" xfId="1" applyFont="1" applyBorder="1" applyAlignment="1">
      <alignment horizontal="center" vertical="center"/>
    </xf>
    <xf numFmtId="165" fontId="17" fillId="0" borderId="0" xfId="0" applyFont="1" applyAlignment="1">
      <alignment vertical="center"/>
    </xf>
    <xf numFmtId="165" fontId="22" fillId="0" borderId="0" xfId="0" applyFont="1" applyAlignment="1">
      <alignment horizontal="center" vertical="center" readingOrder="1"/>
    </xf>
    <xf numFmtId="10" fontId="3" fillId="14" borderId="0" xfId="11" applyNumberFormat="1" applyFont="1" applyFill="1" applyBorder="1" applyAlignment="1">
      <alignment horizontal="center" vertical="center"/>
    </xf>
    <xf numFmtId="10" fontId="5" fillId="0" borderId="3" xfId="11" applyNumberFormat="1" applyFont="1" applyFill="1" applyBorder="1" applyAlignment="1">
      <alignment horizontal="center" vertical="center"/>
    </xf>
    <xf numFmtId="10" fontId="3" fillId="11" borderId="3" xfId="11" applyNumberFormat="1" applyFont="1" applyFill="1" applyBorder="1" applyAlignment="1">
      <alignment horizontal="center" vertical="center"/>
    </xf>
    <xf numFmtId="43" fontId="5" fillId="0" borderId="10" xfId="1" applyFont="1" applyFill="1" applyBorder="1" applyAlignment="1">
      <alignment horizontal="left" vertical="center"/>
    </xf>
    <xf numFmtId="43" fontId="3" fillId="14" borderId="28" xfId="1" applyFont="1" applyFill="1" applyBorder="1" applyAlignment="1">
      <alignment horizontal="center" vertical="center"/>
    </xf>
    <xf numFmtId="43" fontId="5" fillId="0" borderId="29" xfId="1" applyFont="1" applyFill="1" applyBorder="1" applyAlignment="1">
      <alignment horizontal="left" vertical="center"/>
    </xf>
    <xf numFmtId="43" fontId="3" fillId="14" borderId="10" xfId="1" applyFont="1" applyFill="1" applyBorder="1" applyAlignment="1">
      <alignment horizontal="center" vertical="center"/>
    </xf>
    <xf numFmtId="43" fontId="3" fillId="14" borderId="30" xfId="1" applyFont="1" applyFill="1" applyBorder="1" applyAlignment="1">
      <alignment horizontal="center" vertical="center"/>
    </xf>
    <xf numFmtId="43" fontId="5" fillId="0" borderId="31" xfId="1" applyFont="1" applyFill="1" applyBorder="1" applyAlignment="1">
      <alignment horizontal="left" vertical="center"/>
    </xf>
    <xf numFmtId="43" fontId="3" fillId="14" borderId="29" xfId="1" applyFont="1" applyFill="1" applyBorder="1" applyAlignment="1">
      <alignment horizontal="center" vertical="center"/>
    </xf>
    <xf numFmtId="43" fontId="5" fillId="0" borderId="10" xfId="1" applyFont="1" applyBorder="1" applyAlignment="1">
      <alignment horizontal="center" vertical="center"/>
    </xf>
    <xf numFmtId="43" fontId="3" fillId="14" borderId="31" xfId="1" applyFont="1" applyFill="1" applyBorder="1" applyAlignment="1">
      <alignment horizontal="center" vertical="center"/>
    </xf>
    <xf numFmtId="43" fontId="5" fillId="0" borderId="10" xfId="1" applyFont="1" applyFill="1" applyBorder="1" applyAlignment="1">
      <alignment vertical="center"/>
    </xf>
    <xf numFmtId="43" fontId="5" fillId="0" borderId="29" xfId="1" applyFont="1" applyFill="1" applyBorder="1" applyAlignment="1">
      <alignment vertical="center"/>
    </xf>
    <xf numFmtId="43" fontId="5" fillId="0" borderId="15" xfId="1" applyFont="1" applyFill="1" applyBorder="1" applyAlignment="1">
      <alignment vertical="center"/>
    </xf>
    <xf numFmtId="43" fontId="3" fillId="2" borderId="10" xfId="1" applyFont="1" applyFill="1" applyBorder="1" applyAlignment="1">
      <alignment horizontal="left" vertical="center" wrapText="1"/>
    </xf>
    <xf numFmtId="43" fontId="3" fillId="2" borderId="10" xfId="1" applyFont="1" applyFill="1" applyBorder="1" applyAlignment="1">
      <alignment horizontal="left" vertical="center"/>
    </xf>
    <xf numFmtId="43" fontId="3" fillId="11" borderId="15" xfId="1" applyFont="1" applyFill="1" applyBorder="1" applyAlignment="1">
      <alignment horizontal="center" vertical="center"/>
    </xf>
    <xf numFmtId="10" fontId="3" fillId="14" borderId="3" xfId="11" applyNumberFormat="1" applyFont="1" applyFill="1" applyBorder="1" applyAlignment="1">
      <alignment horizontal="center" vertical="center"/>
    </xf>
    <xf numFmtId="10" fontId="5" fillId="0" borderId="3" xfId="11" applyNumberFormat="1" applyFont="1" applyBorder="1" applyAlignment="1">
      <alignment horizontal="center" vertical="center"/>
    </xf>
    <xf numFmtId="10" fontId="3" fillId="2" borderId="3" xfId="11" applyNumberFormat="1" applyFont="1" applyFill="1" applyBorder="1" applyAlignment="1">
      <alignment horizontal="center" vertical="center" wrapText="1"/>
    </xf>
    <xf numFmtId="10" fontId="3" fillId="2" borderId="3" xfId="11" applyNumberFormat="1" applyFont="1" applyFill="1" applyBorder="1" applyAlignment="1">
      <alignment horizontal="center" vertical="center"/>
    </xf>
    <xf numFmtId="10" fontId="12" fillId="0" borderId="3" xfId="11" applyNumberFormat="1" applyFont="1" applyBorder="1" applyAlignment="1">
      <alignment horizontal="center" vertical="center"/>
    </xf>
    <xf numFmtId="10" fontId="17" fillId="0" borderId="3" xfId="11" applyNumberFormat="1" applyFont="1" applyBorder="1" applyAlignment="1">
      <alignment horizontal="center" vertical="center"/>
    </xf>
    <xf numFmtId="10" fontId="11" fillId="13" borderId="3" xfId="11" applyNumberFormat="1" applyFont="1" applyFill="1" applyBorder="1" applyAlignment="1">
      <alignment horizontal="center" vertical="center" wrapText="1"/>
    </xf>
    <xf numFmtId="10" fontId="17" fillId="0" borderId="3" xfId="11" applyNumberFormat="1" applyFont="1" applyBorder="1" applyAlignment="1">
      <alignment horizontal="center" vertical="center" wrapText="1"/>
    </xf>
    <xf numFmtId="165" fontId="12" fillId="5" borderId="3" xfId="0" applyFont="1" applyFill="1" applyBorder="1" applyAlignment="1">
      <alignment horizontal="center" vertical="center"/>
    </xf>
    <xf numFmtId="0" fontId="12" fillId="5" borderId="3" xfId="0" applyNumberFormat="1" applyFont="1" applyFill="1" applyBorder="1" applyAlignment="1">
      <alignment horizontal="justify" vertical="center"/>
    </xf>
    <xf numFmtId="10" fontId="11" fillId="5" borderId="3" xfId="11" applyNumberFormat="1" applyFont="1" applyFill="1" applyBorder="1" applyAlignment="1">
      <alignment horizontal="center" vertical="center"/>
    </xf>
    <xf numFmtId="165" fontId="11" fillId="12" borderId="3" xfId="0" applyFont="1" applyFill="1" applyBorder="1" applyAlignment="1">
      <alignment horizontal="center" vertical="center" wrapText="1"/>
    </xf>
    <xf numFmtId="165" fontId="11" fillId="12" borderId="3" xfId="0" applyFont="1" applyFill="1" applyBorder="1" applyAlignment="1">
      <alignment horizontal="justify" vertical="center" wrapText="1"/>
    </xf>
    <xf numFmtId="43" fontId="11" fillId="12" borderId="3" xfId="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10" fontId="17" fillId="0" borderId="3" xfId="11" applyNumberFormat="1" applyFont="1" applyFill="1" applyBorder="1" applyAlignment="1">
      <alignment horizontal="center" vertical="center"/>
    </xf>
    <xf numFmtId="10" fontId="12" fillId="0" borderId="3" xfId="11" applyNumberFormat="1" applyFont="1" applyBorder="1" applyAlignment="1">
      <alignment horizontal="center" vertical="center" wrapText="1"/>
    </xf>
    <xf numFmtId="10" fontId="12" fillId="0" borderId="3" xfId="11" applyNumberFormat="1" applyFont="1" applyFill="1" applyBorder="1" applyAlignment="1">
      <alignment horizontal="center" vertical="center"/>
    </xf>
    <xf numFmtId="165" fontId="11" fillId="13" borderId="3" xfId="0" applyFont="1" applyFill="1" applyBorder="1" applyAlignment="1">
      <alignment vertical="center" wrapText="1"/>
    </xf>
    <xf numFmtId="0" fontId="13" fillId="2" borderId="3" xfId="0" applyNumberFormat="1" applyFont="1" applyFill="1" applyBorder="1" applyAlignment="1">
      <alignment horizontal="center" vertical="center" wrapText="1"/>
    </xf>
    <xf numFmtId="43" fontId="13" fillId="2" borderId="3" xfId="1" applyFont="1" applyFill="1" applyBorder="1" applyAlignment="1">
      <alignment horizontal="center" vertical="center"/>
    </xf>
    <xf numFmtId="43" fontId="13" fillId="2" borderId="3" xfId="1" applyFont="1" applyFill="1" applyBorder="1" applyAlignment="1">
      <alignment vertical="center"/>
    </xf>
    <xf numFmtId="0" fontId="13" fillId="2" borderId="15" xfId="0" applyNumberFormat="1" applyFont="1" applyFill="1" applyBorder="1" applyAlignment="1">
      <alignment vertical="center" wrapText="1"/>
    </xf>
    <xf numFmtId="173" fontId="3" fillId="2" borderId="3" xfId="1" applyNumberFormat="1" applyFont="1" applyFill="1" applyBorder="1" applyAlignment="1">
      <alignment horizontal="center" vertical="center"/>
    </xf>
    <xf numFmtId="9" fontId="3" fillId="2" borderId="3" xfId="11" applyFont="1" applyFill="1" applyBorder="1" applyAlignment="1">
      <alignment horizontal="center" vertical="center"/>
    </xf>
    <xf numFmtId="0" fontId="4" fillId="2" borderId="3" xfId="0" applyNumberFormat="1" applyFont="1" applyFill="1" applyBorder="1" applyAlignment="1">
      <alignment horizontal="center" vertical="center"/>
    </xf>
    <xf numFmtId="165" fontId="11" fillId="13" borderId="3" xfId="0" applyFont="1" applyFill="1" applyBorder="1" applyAlignment="1">
      <alignment horizontal="left" vertical="center" wrapText="1"/>
    </xf>
    <xf numFmtId="173" fontId="12" fillId="0" borderId="3" xfId="1" applyNumberFormat="1" applyFont="1" applyBorder="1" applyAlignment="1">
      <alignment vertical="center"/>
    </xf>
    <xf numFmtId="173" fontId="4" fillId="11" borderId="3" xfId="1" applyNumberFormat="1" applyFont="1" applyFill="1" applyBorder="1" applyAlignment="1">
      <alignment vertical="center"/>
    </xf>
    <xf numFmtId="10" fontId="4" fillId="11" borderId="3" xfId="11" applyNumberFormat="1" applyFont="1" applyFill="1" applyBorder="1" applyAlignment="1">
      <alignment horizontal="center" vertical="center"/>
    </xf>
    <xf numFmtId="175" fontId="3" fillId="11" borderId="12" xfId="12" applyNumberFormat="1" applyFont="1" applyFill="1" applyBorder="1" applyAlignment="1">
      <alignment vertical="center" wrapText="1"/>
    </xf>
    <xf numFmtId="175" fontId="3" fillId="11" borderId="3" xfId="12" applyNumberFormat="1" applyFont="1" applyFill="1" applyBorder="1" applyAlignment="1">
      <alignment horizontal="center" vertical="center" wrapText="1"/>
    </xf>
    <xf numFmtId="168" fontId="3" fillId="11" borderId="3" xfId="12" applyNumberFormat="1" applyFont="1" applyFill="1" applyBorder="1" applyAlignment="1">
      <alignment horizontal="center" vertical="center" wrapText="1"/>
    </xf>
    <xf numFmtId="0" fontId="12" fillId="0" borderId="3" xfId="15" applyFont="1" applyBorder="1" applyAlignment="1">
      <alignment horizontal="justify" vertical="center"/>
    </xf>
    <xf numFmtId="0" fontId="3" fillId="2" borderId="0" xfId="15" applyFont="1" applyFill="1" applyAlignment="1">
      <alignment horizontal="justify" vertical="center"/>
    </xf>
    <xf numFmtId="178" fontId="12" fillId="0" borderId="3" xfId="12" applyNumberFormat="1" applyFont="1" applyBorder="1" applyAlignment="1">
      <alignment vertical="center"/>
    </xf>
    <xf numFmtId="178" fontId="3" fillId="2" borderId="3" xfId="12" applyNumberFormat="1" applyFont="1" applyFill="1" applyBorder="1" applyAlignment="1">
      <alignment vertical="center"/>
    </xf>
    <xf numFmtId="175" fontId="5" fillId="0" borderId="3" xfId="11" applyNumberFormat="1" applyFont="1" applyFill="1" applyBorder="1" applyAlignment="1">
      <alignment horizontal="right" vertical="center"/>
    </xf>
    <xf numFmtId="175" fontId="3" fillId="2" borderId="3" xfId="12" applyNumberFormat="1" applyFont="1" applyFill="1" applyBorder="1" applyAlignment="1">
      <alignment vertical="center"/>
    </xf>
    <xf numFmtId="175" fontId="5" fillId="0" borderId="3" xfId="12" applyNumberFormat="1" applyFont="1" applyFill="1" applyBorder="1" applyAlignment="1">
      <alignment horizontal="right" vertical="center"/>
    </xf>
    <xf numFmtId="175" fontId="12" fillId="0" borderId="3" xfId="12" applyNumberFormat="1" applyFont="1" applyFill="1" applyBorder="1" applyAlignment="1">
      <alignment vertical="center"/>
    </xf>
    <xf numFmtId="175" fontId="5" fillId="0" borderId="3" xfId="14" applyNumberFormat="1" applyFont="1" applyBorder="1" applyAlignment="1">
      <alignment horizontal="center" vertical="center"/>
    </xf>
    <xf numFmtId="175" fontId="5" fillId="0" borderId="3" xfId="14" applyNumberFormat="1" applyFont="1" applyFill="1" applyBorder="1" applyAlignment="1">
      <alignment horizontal="center" vertical="center"/>
    </xf>
    <xf numFmtId="175" fontId="5" fillId="0" borderId="3" xfId="15" applyNumberFormat="1" applyFont="1" applyBorder="1" applyAlignment="1">
      <alignment horizontal="right" vertical="center"/>
    </xf>
    <xf numFmtId="175" fontId="5" fillId="0" borderId="3" xfId="12" applyNumberFormat="1" applyFont="1" applyFill="1" applyBorder="1" applyAlignment="1">
      <alignment vertical="center"/>
    </xf>
    <xf numFmtId="175" fontId="5" fillId="0" borderId="3" xfId="12" applyNumberFormat="1" applyFont="1" applyBorder="1" applyAlignment="1">
      <alignment horizontal="right" vertical="center"/>
    </xf>
    <xf numFmtId="175" fontId="3" fillId="11" borderId="3" xfId="4" applyNumberFormat="1" applyFont="1" applyFill="1" applyBorder="1" applyAlignment="1">
      <alignment horizontal="center" vertical="center" wrapText="1"/>
    </xf>
    <xf numFmtId="43" fontId="11" fillId="11" borderId="16" xfId="1" applyFont="1" applyFill="1" applyBorder="1" applyAlignment="1">
      <alignment horizontal="center" vertical="center" wrapText="1"/>
    </xf>
    <xf numFmtId="0" fontId="3" fillId="11" borderId="12" xfId="15" applyFont="1" applyFill="1" applyBorder="1" applyAlignment="1">
      <alignment horizontal="justify" vertical="center" wrapText="1"/>
    </xf>
    <xf numFmtId="175" fontId="3" fillId="11" borderId="3" xfId="12" applyNumberFormat="1" applyFont="1" applyFill="1" applyBorder="1" applyAlignment="1">
      <alignment vertical="center"/>
    </xf>
    <xf numFmtId="9" fontId="3" fillId="11" borderId="3" xfId="14" applyFont="1" applyFill="1" applyBorder="1" applyAlignment="1">
      <alignment horizontal="center" vertical="center"/>
    </xf>
    <xf numFmtId="10" fontId="3" fillId="11" borderId="3" xfId="14" applyNumberFormat="1" applyFont="1" applyFill="1" applyBorder="1" applyAlignment="1">
      <alignment horizontal="center" vertical="center"/>
    </xf>
    <xf numFmtId="178" fontId="3" fillId="11" borderId="3" xfId="12" applyNumberFormat="1" applyFont="1" applyFill="1" applyBorder="1" applyAlignment="1">
      <alignment vertical="center"/>
    </xf>
    <xf numFmtId="165" fontId="11" fillId="11" borderId="3" xfId="0" applyFont="1" applyFill="1" applyBorder="1" applyAlignment="1">
      <alignment horizontal="center" vertical="center" wrapText="1"/>
    </xf>
    <xf numFmtId="165" fontId="11" fillId="11" borderId="3" xfId="0" applyFont="1" applyFill="1" applyBorder="1" applyAlignment="1">
      <alignment horizontal="justify" vertical="center" wrapText="1"/>
    </xf>
    <xf numFmtId="43" fontId="11" fillId="11" borderId="3" xfId="1" applyFont="1" applyFill="1" applyBorder="1" applyAlignment="1">
      <alignment horizontal="center" vertical="center" wrapText="1"/>
    </xf>
    <xf numFmtId="0" fontId="12" fillId="0" borderId="3" xfId="0" applyNumberFormat="1" applyFont="1" applyFill="1" applyBorder="1" applyAlignment="1">
      <alignment horizontal="center" vertical="center"/>
    </xf>
    <xf numFmtId="0" fontId="12" fillId="0" borderId="3" xfId="0" applyNumberFormat="1" applyFont="1" applyFill="1" applyBorder="1" applyAlignment="1">
      <alignment horizontal="justify" vertical="center"/>
    </xf>
    <xf numFmtId="173" fontId="8" fillId="0" borderId="3" xfId="1" applyNumberFormat="1" applyFont="1" applyFill="1" applyBorder="1" applyAlignment="1">
      <alignment horizontal="center" vertical="center" wrapText="1"/>
    </xf>
    <xf numFmtId="173" fontId="11" fillId="5" borderId="3" xfId="1" applyNumberFormat="1" applyFont="1" applyFill="1" applyBorder="1" applyAlignment="1">
      <alignment horizontal="center" vertical="center"/>
    </xf>
    <xf numFmtId="0" fontId="4" fillId="5" borderId="3" xfId="0" applyNumberFormat="1" applyFont="1" applyFill="1" applyBorder="1" applyAlignment="1">
      <alignment horizontal="justify" vertical="center"/>
    </xf>
    <xf numFmtId="173" fontId="11" fillId="13" borderId="3" xfId="1" applyNumberFormat="1" applyFont="1" applyFill="1" applyBorder="1" applyAlignment="1">
      <alignment horizontal="center" vertical="center" wrapText="1"/>
    </xf>
    <xf numFmtId="173" fontId="17" fillId="0" borderId="3" xfId="1" applyNumberFormat="1" applyFont="1" applyBorder="1" applyAlignment="1">
      <alignment horizontal="center" vertical="center"/>
    </xf>
    <xf numFmtId="173" fontId="17" fillId="0" borderId="3" xfId="1" applyNumberFormat="1" applyFont="1" applyBorder="1" applyAlignment="1">
      <alignment horizontal="center" vertical="center" wrapText="1"/>
    </xf>
    <xf numFmtId="173" fontId="17" fillId="0" borderId="3" xfId="1" applyNumberFormat="1" applyFont="1" applyFill="1" applyBorder="1" applyAlignment="1">
      <alignment horizontal="center" vertical="center"/>
    </xf>
    <xf numFmtId="1" fontId="25" fillId="2" borderId="3" xfId="18"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165" fontId="11" fillId="0" borderId="27" xfId="0" applyFont="1" applyBorder="1" applyAlignment="1">
      <alignment horizontal="center" vertical="center" wrapText="1"/>
    </xf>
    <xf numFmtId="165" fontId="11" fillId="0" borderId="0" xfId="0" applyFont="1" applyAlignment="1">
      <alignment horizontal="center" vertical="center" wrapText="1"/>
    </xf>
    <xf numFmtId="165" fontId="11" fillId="5" borderId="3" xfId="0" applyFont="1" applyFill="1" applyBorder="1" applyAlignment="1">
      <alignment horizontal="center" vertical="center" wrapText="1"/>
    </xf>
    <xf numFmtId="0" fontId="4" fillId="2" borderId="3" xfId="0" applyNumberFormat="1" applyFont="1" applyFill="1" applyBorder="1" applyAlignment="1">
      <alignment horizontal="center" vertical="center"/>
    </xf>
    <xf numFmtId="165" fontId="11" fillId="13" borderId="3" xfId="0" applyFont="1" applyFill="1" applyBorder="1" applyAlignment="1">
      <alignment horizontal="left" vertical="center" wrapText="1"/>
    </xf>
    <xf numFmtId="165" fontId="3" fillId="0" borderId="4" xfId="0" applyFont="1" applyBorder="1" applyAlignment="1">
      <alignment horizontal="center" vertical="center" wrapText="1"/>
    </xf>
    <xf numFmtId="165" fontId="3" fillId="0" borderId="0" xfId="0" applyFont="1" applyAlignment="1">
      <alignment horizontal="center" vertical="center" wrapText="1"/>
    </xf>
    <xf numFmtId="165" fontId="4" fillId="0" borderId="15" xfId="0" applyFont="1" applyBorder="1" applyAlignment="1">
      <alignment horizontal="center" wrapText="1"/>
    </xf>
    <xf numFmtId="165" fontId="4" fillId="0" borderId="26" xfId="0" applyFont="1" applyBorder="1" applyAlignment="1">
      <alignment horizontal="center" wrapText="1"/>
    </xf>
    <xf numFmtId="43" fontId="4" fillId="11" borderId="3" xfId="1" applyFont="1" applyFill="1" applyBorder="1" applyAlignment="1">
      <alignment horizontal="center" vertical="center"/>
    </xf>
    <xf numFmtId="165" fontId="22" fillId="0" borderId="0" xfId="0" applyFont="1" applyAlignment="1">
      <alignment horizontal="center" vertical="center" wrapText="1" readingOrder="1"/>
    </xf>
    <xf numFmtId="0" fontId="4" fillId="0" borderId="26" xfId="15" applyFont="1" applyBorder="1" applyAlignment="1">
      <alignment horizontal="center" vertical="center" wrapText="1"/>
    </xf>
    <xf numFmtId="0" fontId="4" fillId="0" borderId="12" xfId="15" applyFont="1" applyBorder="1" applyAlignment="1">
      <alignment horizontal="center" vertical="center" wrapText="1"/>
    </xf>
    <xf numFmtId="165" fontId="22" fillId="0" borderId="0" xfId="0" applyFont="1" applyAlignment="1">
      <alignment horizontal="center" vertical="center" readingOrder="1"/>
    </xf>
    <xf numFmtId="165" fontId="24" fillId="12" borderId="15" xfId="0" applyFont="1" applyFill="1" applyBorder="1" applyAlignment="1">
      <alignment horizontal="center" vertical="center"/>
    </xf>
    <xf numFmtId="165" fontId="24" fillId="12" borderId="12" xfId="0" applyFont="1" applyFill="1" applyBorder="1" applyAlignment="1">
      <alignment horizontal="center" vertical="center"/>
    </xf>
    <xf numFmtId="165" fontId="13" fillId="2" borderId="22" xfId="0" applyFont="1" applyFill="1" applyBorder="1" applyAlignment="1">
      <alignment horizontal="center" vertical="center" wrapText="1"/>
    </xf>
    <xf numFmtId="165" fontId="13" fillId="2" borderId="13" xfId="0" applyFont="1" applyFill="1" applyBorder="1" applyAlignment="1">
      <alignment horizontal="center" vertical="center" wrapText="1"/>
    </xf>
    <xf numFmtId="165" fontId="13" fillId="2" borderId="0" xfId="0" applyFont="1" applyFill="1" applyBorder="1" applyAlignment="1">
      <alignment horizontal="center" vertical="center" wrapText="1"/>
    </xf>
    <xf numFmtId="165" fontId="13" fillId="2" borderId="5" xfId="0" applyFont="1" applyFill="1" applyBorder="1" applyAlignment="1">
      <alignment horizontal="center" vertical="center" wrapText="1"/>
    </xf>
    <xf numFmtId="165" fontId="13" fillId="2" borderId="1" xfId="0" applyFont="1" applyFill="1" applyBorder="1" applyAlignment="1">
      <alignment horizontal="center" vertical="center" wrapText="1"/>
    </xf>
    <xf numFmtId="165" fontId="13" fillId="2" borderId="2" xfId="0" applyFont="1" applyFill="1" applyBorder="1" applyAlignment="1">
      <alignment horizontal="center" vertical="center" wrapText="1"/>
    </xf>
    <xf numFmtId="165" fontId="26" fillId="0" borderId="0" xfId="0" applyFont="1" applyAlignment="1">
      <alignment horizontal="center" vertical="center" wrapText="1"/>
    </xf>
    <xf numFmtId="165" fontId="26" fillId="0" borderId="1" xfId="0" applyFont="1" applyBorder="1" applyAlignment="1">
      <alignment horizontal="center" vertical="center" wrapText="1"/>
    </xf>
    <xf numFmtId="165" fontId="4" fillId="7" borderId="15" xfId="0" applyFont="1" applyFill="1" applyBorder="1" applyAlignment="1">
      <alignment horizontal="center" vertical="center" wrapText="1"/>
    </xf>
    <xf numFmtId="165" fontId="4" fillId="15" borderId="9" xfId="0" applyFont="1" applyFill="1" applyBorder="1" applyAlignment="1">
      <alignment horizontal="center" vertical="center" wrapText="1"/>
    </xf>
    <xf numFmtId="165" fontId="4" fillId="15" borderId="11" xfId="0" applyFont="1" applyFill="1" applyBorder="1" applyAlignment="1">
      <alignment horizontal="center" vertical="center" wrapText="1"/>
    </xf>
    <xf numFmtId="0" fontId="12" fillId="0" borderId="3" xfId="6" applyNumberFormat="1" applyFont="1" applyFill="1" applyBorder="1">
      <alignment horizontal="center" vertical="center" wrapText="1"/>
    </xf>
    <xf numFmtId="0" fontId="12" fillId="0" borderId="3" xfId="0" applyNumberFormat="1" applyFont="1" applyBorder="1" applyAlignment="1">
      <alignment horizontal="center" vertical="center" wrapText="1"/>
    </xf>
    <xf numFmtId="0" fontId="12" fillId="0" borderId="3" xfId="1"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0" fontId="12" fillId="9" borderId="3" xfId="0" applyNumberFormat="1" applyFont="1" applyFill="1" applyBorder="1" applyAlignment="1">
      <alignment horizontal="center" vertical="center" wrapText="1"/>
    </xf>
    <xf numFmtId="0" fontId="12" fillId="2" borderId="3" xfId="8" applyNumberFormat="1" applyFont="1" applyFill="1" applyBorder="1" applyAlignment="1">
      <alignment horizontal="center" vertical="center" wrapText="1"/>
    </xf>
    <xf numFmtId="0" fontId="12" fillId="16" borderId="3" xfId="0" applyNumberFormat="1" applyFont="1" applyFill="1" applyBorder="1" applyAlignment="1">
      <alignment horizontal="center" vertical="center" wrapText="1"/>
    </xf>
    <xf numFmtId="0" fontId="12" fillId="0" borderId="3" xfId="7" applyFont="1" applyFill="1" applyBorder="1">
      <alignment horizontal="center" vertical="center" wrapText="1"/>
    </xf>
    <xf numFmtId="0" fontId="12" fillId="2" borderId="3" xfId="7" applyFont="1" applyFill="1" applyBorder="1">
      <alignment horizontal="center" vertical="center" wrapText="1"/>
    </xf>
    <xf numFmtId="0" fontId="12" fillId="16" borderId="3" xfId="7" applyFont="1" applyFill="1" applyBorder="1">
      <alignment horizontal="center" vertical="center" wrapText="1"/>
    </xf>
    <xf numFmtId="0" fontId="4" fillId="2" borderId="3" xfId="5" applyFont="1" applyFill="1" applyBorder="1" applyAlignment="1">
      <alignment horizontal="center" vertical="center"/>
    </xf>
    <xf numFmtId="0" fontId="4" fillId="2" borderId="3" xfId="5" applyFont="1" applyFill="1" applyBorder="1" applyAlignment="1">
      <alignment horizontal="center" vertical="center" wrapText="1"/>
    </xf>
    <xf numFmtId="0" fontId="12" fillId="9" borderId="3" xfId="0" applyNumberFormat="1" applyFont="1" applyFill="1" applyBorder="1" applyAlignment="1">
      <alignment horizontal="center" vertical="center"/>
    </xf>
    <xf numFmtId="0" fontId="4" fillId="0" borderId="3" xfId="0" applyNumberFormat="1" applyFont="1" applyBorder="1" applyAlignment="1">
      <alignment horizontal="center" vertical="center"/>
    </xf>
    <xf numFmtId="1" fontId="12" fillId="2" borderId="3" xfId="5" applyNumberFormat="1" applyFont="1" applyFill="1" applyBorder="1" applyAlignment="1">
      <alignment horizontal="center" vertical="center"/>
    </xf>
    <xf numFmtId="1" fontId="12" fillId="2" borderId="3" xfId="0" applyNumberFormat="1" applyFont="1" applyFill="1" applyBorder="1" applyAlignment="1">
      <alignment horizontal="center" vertical="center"/>
    </xf>
    <xf numFmtId="0" fontId="12" fillId="2" borderId="3" xfId="5" applyFont="1" applyFill="1" applyBorder="1" applyAlignment="1">
      <alignment horizontal="center" vertical="center" wrapText="1"/>
    </xf>
    <xf numFmtId="0" fontId="4" fillId="16" borderId="3" xfId="0" applyNumberFormat="1" applyFont="1" applyFill="1" applyBorder="1" applyAlignment="1">
      <alignment horizontal="center" vertical="center" wrapText="1"/>
    </xf>
    <xf numFmtId="0" fontId="4" fillId="2" borderId="3" xfId="6" applyNumberFormat="1" applyFont="1" applyFill="1" applyBorder="1">
      <alignment horizontal="center" vertical="center" wrapText="1"/>
    </xf>
    <xf numFmtId="0" fontId="12" fillId="9" borderId="3" xfId="6" applyNumberFormat="1" applyFont="1" applyFill="1" applyBorder="1">
      <alignment horizontal="center" vertical="center" wrapText="1"/>
    </xf>
    <xf numFmtId="0" fontId="4" fillId="16" borderId="3" xfId="6" applyNumberFormat="1" applyFont="1" applyFill="1" applyBorder="1">
      <alignment horizontal="center" vertical="center" wrapText="1"/>
    </xf>
    <xf numFmtId="0" fontId="4" fillId="2" borderId="3" xfId="0" applyNumberFormat="1" applyFont="1" applyFill="1" applyBorder="1" applyAlignment="1">
      <alignment horizontal="center" vertical="center" wrapText="1"/>
    </xf>
    <xf numFmtId="0" fontId="12" fillId="16" borderId="3" xfId="6" applyNumberFormat="1" applyFont="1" applyFill="1" applyBorder="1">
      <alignment horizontal="center" vertical="center" wrapText="1"/>
    </xf>
    <xf numFmtId="0" fontId="12" fillId="2" borderId="3" xfId="6" applyNumberFormat="1" applyFont="1" applyFill="1" applyBorder="1">
      <alignment horizontal="center" vertical="center" wrapText="1"/>
    </xf>
    <xf numFmtId="0" fontId="12" fillId="0" borderId="3" xfId="5" applyFont="1" applyBorder="1" applyAlignment="1">
      <alignment horizontal="center" vertical="center" wrapText="1"/>
    </xf>
    <xf numFmtId="1" fontId="12" fillId="2" borderId="3" xfId="0" applyNumberFormat="1" applyFont="1" applyFill="1" applyBorder="1" applyAlignment="1">
      <alignment horizontal="center" vertical="center" wrapText="1"/>
    </xf>
    <xf numFmtId="165" fontId="12" fillId="2" borderId="3" xfId="0" applyFont="1" applyFill="1" applyBorder="1" applyAlignment="1">
      <alignment horizontal="center" vertical="center" wrapText="1"/>
    </xf>
    <xf numFmtId="0" fontId="12" fillId="10" borderId="3" xfId="0" applyNumberFormat="1" applyFont="1" applyFill="1" applyBorder="1" applyAlignment="1">
      <alignment horizontal="center" vertical="center" wrapText="1"/>
    </xf>
    <xf numFmtId="0" fontId="4" fillId="0" borderId="3" xfId="5" applyFont="1" applyBorder="1" applyAlignment="1">
      <alignment horizontal="center" vertical="center" wrapText="1"/>
    </xf>
    <xf numFmtId="1" fontId="4" fillId="2" borderId="3" xfId="0" applyNumberFormat="1" applyFont="1" applyFill="1" applyBorder="1" applyAlignment="1">
      <alignment horizontal="center" vertical="center" wrapText="1"/>
    </xf>
    <xf numFmtId="0" fontId="12" fillId="10" borderId="3" xfId="5"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3" xfId="7" applyFont="1" applyFill="1" applyBorder="1">
      <alignment horizontal="center" vertical="center" wrapText="1"/>
    </xf>
    <xf numFmtId="0" fontId="12" fillId="5" borderId="3" xfId="0" applyNumberFormat="1" applyFont="1" applyFill="1" applyBorder="1" applyAlignment="1">
      <alignment horizontal="center" vertical="center" wrapText="1"/>
    </xf>
    <xf numFmtId="0" fontId="12" fillId="0" borderId="0" xfId="0" applyNumberFormat="1" applyFont="1" applyAlignment="1">
      <alignment horizontal="center" vertical="center" wrapText="1"/>
    </xf>
    <xf numFmtId="0" fontId="12" fillId="0" borderId="0" xfId="0" applyNumberFormat="1" applyFont="1" applyAlignment="1">
      <alignment horizontal="center" wrapText="1"/>
    </xf>
    <xf numFmtId="0" fontId="12" fillId="4" borderId="3" xfId="0" applyNumberFormat="1" applyFont="1" applyFill="1" applyBorder="1" applyAlignment="1">
      <alignment horizontal="center" vertical="center" wrapText="1"/>
    </xf>
    <xf numFmtId="0" fontId="12" fillId="4" borderId="3" xfId="7" applyFont="1" applyFill="1" applyBorder="1">
      <alignment horizontal="center" vertical="center" wrapText="1"/>
    </xf>
    <xf numFmtId="0" fontId="12" fillId="4" borderId="3" xfId="1" applyNumberFormat="1" applyFont="1" applyFill="1" applyBorder="1" applyAlignment="1">
      <alignment horizontal="center" vertical="center" wrapText="1"/>
    </xf>
    <xf numFmtId="0" fontId="12" fillId="4" borderId="3" xfId="6" applyNumberFormat="1" applyFont="1" applyFill="1" applyBorder="1">
      <alignment horizontal="center" vertical="center" wrapText="1"/>
    </xf>
    <xf numFmtId="0" fontId="12" fillId="4" borderId="9" xfId="5" applyFont="1" applyFill="1" applyBorder="1" applyAlignment="1">
      <alignment horizontal="center" vertical="center" wrapText="1"/>
    </xf>
    <xf numFmtId="49" fontId="12" fillId="4" borderId="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12" fillId="4" borderId="3" xfId="5" applyFont="1" applyFill="1" applyBorder="1" applyAlignment="1">
      <alignment horizontal="center" vertical="center" wrapText="1"/>
    </xf>
    <xf numFmtId="165" fontId="4" fillId="7" borderId="26" xfId="0" applyFont="1" applyFill="1" applyBorder="1" applyAlignment="1">
      <alignment horizontal="center" vertical="center" wrapText="1"/>
    </xf>
    <xf numFmtId="165" fontId="4" fillId="7" borderId="12" xfId="0" applyFont="1" applyFill="1" applyBorder="1" applyAlignment="1">
      <alignment horizontal="center" vertical="center" wrapText="1"/>
    </xf>
    <xf numFmtId="3" fontId="12" fillId="0" borderId="3" xfId="5" applyNumberFormat="1" applyFont="1" applyBorder="1" applyAlignment="1">
      <alignment horizontal="center" vertical="center" wrapText="1"/>
    </xf>
    <xf numFmtId="3" fontId="12" fillId="2" borderId="3" xfId="5" applyNumberFormat="1" applyFont="1" applyFill="1" applyBorder="1" applyAlignment="1">
      <alignment horizontal="center" vertical="center" wrapText="1"/>
    </xf>
    <xf numFmtId="0" fontId="4" fillId="4" borderId="3" xfId="5" applyFont="1" applyFill="1" applyBorder="1" applyAlignment="1">
      <alignment horizontal="center" vertical="center" wrapText="1"/>
    </xf>
    <xf numFmtId="0" fontId="12" fillId="2" borderId="3" xfId="5" applyFont="1" applyFill="1" applyBorder="1" applyAlignment="1">
      <alignment horizontal="center" vertical="center"/>
    </xf>
    <xf numFmtId="0" fontId="12" fillId="2" borderId="3" xfId="0" applyNumberFormat="1" applyFont="1" applyFill="1" applyBorder="1" applyAlignment="1">
      <alignment horizontal="center" vertical="center"/>
    </xf>
    <xf numFmtId="0" fontId="12" fillId="0" borderId="3" xfId="5" applyFont="1" applyBorder="1" applyAlignment="1">
      <alignment horizontal="center" vertical="center"/>
    </xf>
    <xf numFmtId="0" fontId="12" fillId="4" borderId="3" xfId="5" applyFont="1" applyFill="1" applyBorder="1" applyAlignment="1">
      <alignment horizontal="center" vertical="center"/>
    </xf>
    <xf numFmtId="0" fontId="4" fillId="4" borderId="3" xfId="5" applyFont="1" applyFill="1" applyBorder="1" applyAlignment="1">
      <alignment horizontal="center" vertical="center"/>
    </xf>
    <xf numFmtId="3" fontId="12" fillId="2" borderId="3" xfId="5" applyNumberFormat="1" applyFont="1" applyFill="1" applyBorder="1" applyAlignment="1">
      <alignment horizontal="center" vertical="center"/>
    </xf>
    <xf numFmtId="0" fontId="12" fillId="2" borderId="11" xfId="5" applyFont="1" applyFill="1" applyBorder="1" applyAlignment="1">
      <alignment horizontal="center" vertical="center" wrapText="1"/>
    </xf>
    <xf numFmtId="3" fontId="12" fillId="4" borderId="3" xfId="5"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xf>
    <xf numFmtId="9" fontId="12" fillId="2" borderId="3" xfId="5" applyNumberFormat="1" applyFont="1" applyFill="1" applyBorder="1" applyAlignment="1">
      <alignment horizontal="center" vertical="center" wrapText="1"/>
    </xf>
    <xf numFmtId="9" fontId="12" fillId="0" borderId="0" xfId="11" applyFont="1" applyAlignment="1">
      <alignment horizontal="center" vertical="center" wrapText="1"/>
    </xf>
    <xf numFmtId="10" fontId="12" fillId="0" borderId="0" xfId="11" applyNumberFormat="1" applyFont="1" applyAlignment="1">
      <alignment horizontal="center" vertical="center" wrapText="1"/>
    </xf>
    <xf numFmtId="0" fontId="12" fillId="0" borderId="3" xfId="5"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14" borderId="3" xfId="7" applyFont="1" applyFill="1" applyBorder="1">
      <alignment horizontal="center" vertical="center" wrapText="1"/>
    </xf>
    <xf numFmtId="0" fontId="12" fillId="14" borderId="3" xfId="5" applyFont="1" applyFill="1" applyBorder="1" applyAlignment="1">
      <alignment horizontal="center" vertical="center" wrapText="1"/>
    </xf>
    <xf numFmtId="0" fontId="12" fillId="4" borderId="11" xfId="6" applyNumberFormat="1" applyFont="1" applyFill="1" applyBorder="1">
      <alignment horizontal="center" vertical="center" wrapText="1"/>
    </xf>
    <xf numFmtId="0" fontId="12" fillId="4" borderId="9" xfId="0" applyNumberFormat="1" applyFont="1" applyFill="1" applyBorder="1" applyAlignment="1">
      <alignment horizontal="center" vertical="center" wrapText="1"/>
    </xf>
    <xf numFmtId="0" fontId="12" fillId="4" borderId="7" xfId="0" applyNumberFormat="1" applyFont="1" applyFill="1" applyBorder="1" applyAlignment="1">
      <alignment horizontal="center" vertical="center" wrapText="1"/>
    </xf>
    <xf numFmtId="0" fontId="12" fillId="4" borderId="7" xfId="5" applyFont="1" applyFill="1" applyBorder="1" applyAlignment="1">
      <alignment horizontal="center" vertical="center" wrapText="1"/>
    </xf>
    <xf numFmtId="0" fontId="12" fillId="2" borderId="3" xfId="0" applyNumberFormat="1" applyFont="1" applyFill="1" applyBorder="1" applyAlignment="1">
      <alignment horizontal="justify" vertical="center" wrapText="1"/>
    </xf>
    <xf numFmtId="0" fontId="12" fillId="9" borderId="3" xfId="5" applyFont="1" applyFill="1" applyBorder="1" applyAlignment="1">
      <alignment horizontal="justify" vertical="center" wrapText="1"/>
    </xf>
    <xf numFmtId="3" fontId="12" fillId="2" borderId="3" xfId="0" applyNumberFormat="1" applyFont="1" applyFill="1" applyBorder="1" applyAlignment="1">
      <alignment horizontal="justify" vertical="center" wrapText="1"/>
    </xf>
    <xf numFmtId="43" fontId="12" fillId="2" borderId="3" xfId="1" applyFont="1" applyFill="1" applyBorder="1" applyAlignment="1">
      <alignment horizontal="center" vertical="center"/>
    </xf>
    <xf numFmtId="165" fontId="27" fillId="2" borderId="3" xfId="0" applyFont="1" applyFill="1" applyBorder="1" applyAlignment="1">
      <alignment wrapText="1"/>
    </xf>
    <xf numFmtId="168" fontId="12" fillId="2" borderId="3" xfId="0" applyNumberFormat="1" applyFont="1" applyFill="1" applyBorder="1" applyAlignment="1">
      <alignment horizontal="justify" vertical="center" wrapText="1"/>
    </xf>
    <xf numFmtId="165" fontId="12" fillId="0" borderId="0" xfId="0" applyFont="1" applyAlignment="1">
      <alignment horizontal="center" vertical="center"/>
    </xf>
    <xf numFmtId="165" fontId="12" fillId="2" borderId="0" xfId="0" applyFont="1" applyFill="1" applyAlignment="1">
      <alignment horizontal="center" vertical="center"/>
    </xf>
    <xf numFmtId="0" fontId="12" fillId="2" borderId="3" xfId="5" applyFont="1" applyFill="1" applyBorder="1" applyAlignment="1">
      <alignment horizontal="justify" vertical="center" wrapText="1"/>
    </xf>
    <xf numFmtId="3" fontId="4" fillId="2" borderId="3" xfId="5" applyNumberFormat="1" applyFont="1" applyFill="1" applyBorder="1" applyAlignment="1">
      <alignment horizontal="center" vertical="center" wrapText="1"/>
    </xf>
    <xf numFmtId="0" fontId="13" fillId="0" borderId="0" xfId="16" applyNumberFormat="1" applyFont="1" applyBorder="1" applyAlignment="1">
      <alignment horizontal="center" vertical="center" wrapText="1"/>
    </xf>
    <xf numFmtId="0" fontId="2" fillId="4" borderId="0" xfId="16" applyNumberFormat="1" applyFont="1" applyFill="1" applyBorder="1" applyAlignment="1">
      <alignment horizontal="left" vertical="center" wrapText="1"/>
    </xf>
    <xf numFmtId="1" fontId="12" fillId="4" borderId="3" xfId="0" applyNumberFormat="1" applyFont="1" applyFill="1" applyBorder="1" applyAlignment="1">
      <alignment horizontal="center" vertical="center" wrapText="1"/>
    </xf>
    <xf numFmtId="49" fontId="12" fillId="4" borderId="3" xfId="0" applyNumberFormat="1" applyFont="1" applyFill="1" applyBorder="1" applyAlignment="1">
      <alignment horizontal="center" vertical="center"/>
    </xf>
    <xf numFmtId="0" fontId="12" fillId="4" borderId="9" xfId="0" applyNumberFormat="1" applyFont="1" applyFill="1" applyBorder="1" applyAlignment="1" applyProtection="1">
      <alignment horizontal="center" vertical="center" wrapText="1"/>
      <protection locked="0"/>
    </xf>
    <xf numFmtId="0" fontId="12" fillId="2" borderId="3" xfId="0" applyNumberFormat="1" applyFont="1" applyFill="1" applyBorder="1" applyAlignment="1" applyProtection="1">
      <alignment horizontal="center" vertical="center" wrapText="1"/>
      <protection locked="0"/>
    </xf>
    <xf numFmtId="0" fontId="12" fillId="2" borderId="11" xfId="0" applyNumberFormat="1" applyFont="1" applyFill="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65" fontId="12" fillId="2" borderId="3" xfId="0" applyFont="1" applyFill="1" applyBorder="1" applyAlignment="1">
      <alignment horizontal="center" vertical="center"/>
    </xf>
    <xf numFmtId="0" fontId="12" fillId="4" borderId="3"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wrapText="1"/>
    </xf>
    <xf numFmtId="0" fontId="12" fillId="0" borderId="3" xfId="10" applyNumberFormat="1" applyFont="1" applyFill="1" applyBorder="1" applyAlignment="1">
      <alignment horizontal="center" vertical="center" wrapText="1"/>
    </xf>
    <xf numFmtId="0" fontId="12" fillId="14" borderId="3" xfId="0" applyNumberFormat="1" applyFont="1" applyFill="1" applyBorder="1" applyAlignment="1">
      <alignment horizontal="center" vertical="center" wrapText="1"/>
    </xf>
    <xf numFmtId="0" fontId="12" fillId="4" borderId="3" xfId="0" applyNumberFormat="1" applyFont="1" applyFill="1" applyBorder="1" applyAlignment="1" applyProtection="1">
      <alignment horizontal="center" vertical="center"/>
      <protection locked="0"/>
    </xf>
    <xf numFmtId="0" fontId="12" fillId="4" borderId="9" xfId="0" applyNumberFormat="1" applyFont="1" applyFill="1" applyBorder="1" applyAlignment="1" applyProtection="1">
      <alignment horizontal="center" vertical="center"/>
      <protection locked="0"/>
    </xf>
    <xf numFmtId="0" fontId="12" fillId="5"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165" fontId="26" fillId="0" borderId="0" xfId="0" applyFont="1" applyAlignment="1">
      <alignment vertical="center" wrapText="1"/>
    </xf>
    <xf numFmtId="165" fontId="4" fillId="0" borderId="0" xfId="0" applyFont="1" applyAlignment="1">
      <alignment horizontal="left" vertical="center"/>
    </xf>
    <xf numFmtId="165" fontId="4" fillId="0" borderId="3" xfId="0" applyFont="1" applyBorder="1" applyAlignment="1">
      <alignment horizontal="left" vertical="center"/>
    </xf>
    <xf numFmtId="165" fontId="26" fillId="0" borderId="4" xfId="0" applyFont="1" applyBorder="1" applyAlignment="1">
      <alignment vertical="center" wrapText="1"/>
    </xf>
    <xf numFmtId="165" fontId="25" fillId="0" borderId="0" xfId="0" applyFont="1"/>
    <xf numFmtId="165" fontId="25" fillId="0" borderId="1" xfId="0" applyFont="1" applyBorder="1" applyAlignment="1">
      <alignment vertical="center" wrapText="1"/>
    </xf>
    <xf numFmtId="3" fontId="4" fillId="0" borderId="3" xfId="0" applyNumberFormat="1" applyFont="1" applyBorder="1" applyAlignment="1">
      <alignment horizontal="center" vertical="center" wrapText="1"/>
    </xf>
    <xf numFmtId="165" fontId="4" fillId="7" borderId="21" xfId="0" applyFont="1" applyFill="1" applyBorder="1" applyAlignment="1">
      <alignment horizontal="center" vertical="center" wrapText="1"/>
    </xf>
    <xf numFmtId="165" fontId="4" fillId="7" borderId="13" xfId="0" applyFont="1" applyFill="1" applyBorder="1" applyAlignment="1">
      <alignment horizontal="center" vertical="center" wrapText="1"/>
    </xf>
    <xf numFmtId="165" fontId="4" fillId="7" borderId="9" xfId="0" applyFont="1" applyFill="1" applyBorder="1" applyAlignment="1">
      <alignment horizontal="center" vertical="center" wrapText="1"/>
    </xf>
    <xf numFmtId="165" fontId="4" fillId="7" borderId="22" xfId="0" applyFont="1" applyFill="1" applyBorder="1" applyAlignment="1">
      <alignment horizontal="center" vertical="center" wrapText="1"/>
    </xf>
    <xf numFmtId="165" fontId="4" fillId="7" borderId="4" xfId="0" applyFont="1" applyFill="1" applyBorder="1" applyAlignment="1">
      <alignment horizontal="center" vertical="center" wrapText="1"/>
    </xf>
    <xf numFmtId="165" fontId="4" fillId="7" borderId="0" xfId="0" applyFont="1" applyFill="1" applyAlignment="1">
      <alignment horizontal="center" vertical="center" wrapText="1"/>
    </xf>
    <xf numFmtId="165" fontId="4" fillId="7" borderId="3" xfId="0" applyFont="1" applyFill="1" applyBorder="1" applyAlignment="1">
      <alignment horizontal="center" vertical="center" wrapText="1"/>
    </xf>
    <xf numFmtId="165" fontId="25" fillId="0" borderId="0" xfId="0" applyFont="1" applyAlignment="1">
      <alignment vertical="center"/>
    </xf>
    <xf numFmtId="165" fontId="4" fillId="0" borderId="0" xfId="0" applyFont="1" applyAlignment="1">
      <alignment vertical="center"/>
    </xf>
    <xf numFmtId="165" fontId="25" fillId="8" borderId="0" xfId="0" applyFont="1" applyFill="1" applyAlignment="1">
      <alignment vertical="center"/>
    </xf>
    <xf numFmtId="165" fontId="4" fillId="7" borderId="20" xfId="0" applyFont="1" applyFill="1" applyBorder="1" applyAlignment="1">
      <alignment horizontal="center" vertical="center" wrapText="1"/>
    </xf>
    <xf numFmtId="165" fontId="4" fillId="7" borderId="2" xfId="0" applyFont="1" applyFill="1" applyBorder="1" applyAlignment="1">
      <alignment horizontal="center" vertical="center" wrapText="1"/>
    </xf>
    <xf numFmtId="165" fontId="4" fillId="7" borderId="18" xfId="0" applyFont="1" applyFill="1" applyBorder="1" applyAlignment="1">
      <alignment horizontal="center" vertical="center" wrapText="1"/>
    </xf>
    <xf numFmtId="165" fontId="4" fillId="7" borderId="1" xfId="0" applyFont="1" applyFill="1" applyBorder="1" applyAlignment="1">
      <alignment horizontal="center" vertical="center" wrapText="1"/>
    </xf>
    <xf numFmtId="165" fontId="4" fillId="15" borderId="9" xfId="0" applyFont="1" applyFill="1" applyBorder="1" applyAlignment="1">
      <alignment horizontal="center" vertical="center" wrapText="1"/>
    </xf>
    <xf numFmtId="165" fontId="4" fillId="7" borderId="11" xfId="0" applyFont="1" applyFill="1" applyBorder="1" applyAlignment="1">
      <alignment horizontal="center" vertical="center" wrapText="1"/>
    </xf>
    <xf numFmtId="165" fontId="4" fillId="15" borderId="3" xfId="0" applyFont="1" applyFill="1" applyBorder="1" applyAlignment="1">
      <alignment horizontal="center" vertical="center" wrapText="1"/>
    </xf>
    <xf numFmtId="0" fontId="12" fillId="0" borderId="3" xfId="0" applyNumberFormat="1" applyFont="1" applyBorder="1" applyAlignment="1">
      <alignment horizontal="justify" vertical="center" wrapText="1"/>
    </xf>
    <xf numFmtId="1" fontId="12" fillId="16" borderId="3" xfId="0" applyNumberFormat="1" applyFont="1" applyFill="1" applyBorder="1" applyAlignment="1">
      <alignment horizontal="center" vertical="center" wrapText="1"/>
    </xf>
    <xf numFmtId="165" fontId="12" fillId="0" borderId="3" xfId="0" applyFont="1" applyBorder="1" applyAlignment="1">
      <alignment horizontal="center" vertical="center" wrapText="1"/>
    </xf>
    <xf numFmtId="0" fontId="4" fillId="0" borderId="3" xfId="6" applyNumberFormat="1" applyFont="1" applyFill="1" applyBorder="1">
      <alignment horizontal="center" vertical="center" wrapText="1"/>
    </xf>
    <xf numFmtId="1" fontId="12" fillId="0" borderId="3" xfId="0" applyNumberFormat="1" applyFont="1" applyBorder="1" applyAlignment="1">
      <alignment horizontal="center" vertical="center" wrapText="1"/>
    </xf>
    <xf numFmtId="43" fontId="12" fillId="0" borderId="3" xfId="1" applyFont="1" applyFill="1" applyBorder="1" applyAlignment="1">
      <alignment horizontal="center" vertical="center"/>
    </xf>
    <xf numFmtId="165" fontId="12" fillId="0" borderId="3" xfId="0" applyFont="1" applyBorder="1" applyAlignment="1">
      <alignment horizontal="center" vertical="center"/>
    </xf>
    <xf numFmtId="4" fontId="12" fillId="0" borderId="3" xfId="0" applyNumberFormat="1" applyFont="1" applyBorder="1" applyAlignment="1">
      <alignment horizontal="justify" vertical="center" wrapText="1"/>
    </xf>
    <xf numFmtId="165" fontId="12" fillId="2" borderId="3" xfId="0" applyFont="1" applyFill="1" applyBorder="1" applyAlignment="1">
      <alignment horizontal="left" vertical="center"/>
    </xf>
    <xf numFmtId="165" fontId="12" fillId="2" borderId="3" xfId="0" applyFont="1" applyFill="1" applyBorder="1" applyAlignment="1">
      <alignment horizontal="justify" vertical="center" wrapText="1"/>
    </xf>
    <xf numFmtId="165" fontId="12" fillId="2" borderId="3" xfId="0" applyFont="1" applyFill="1" applyBorder="1" applyAlignment="1">
      <alignment horizontal="justify" vertical="center"/>
    </xf>
    <xf numFmtId="4" fontId="12" fillId="2" borderId="3" xfId="0" applyNumberFormat="1" applyFont="1" applyFill="1" applyBorder="1" applyAlignment="1">
      <alignment horizontal="justify" vertical="center" wrapText="1"/>
    </xf>
    <xf numFmtId="0" fontId="12" fillId="0" borderId="3" xfId="5" applyFont="1" applyBorder="1" applyAlignment="1">
      <alignment horizontal="justify" vertical="center" wrapText="1"/>
    </xf>
    <xf numFmtId="0" fontId="4" fillId="11" borderId="3" xfId="6" applyNumberFormat="1" applyFont="1" applyFill="1" applyBorder="1">
      <alignment horizontal="center" vertical="center" wrapText="1"/>
    </xf>
    <xf numFmtId="9" fontId="12" fillId="2" borderId="3" xfId="0" applyNumberFormat="1" applyFont="1" applyFill="1" applyBorder="1" applyAlignment="1">
      <alignment horizontal="center" vertical="center"/>
    </xf>
    <xf numFmtId="9" fontId="4" fillId="11" borderId="3" xfId="0" applyNumberFormat="1" applyFont="1" applyFill="1" applyBorder="1" applyAlignment="1">
      <alignment horizontal="center" vertical="center"/>
    </xf>
    <xf numFmtId="165" fontId="12" fillId="0" borderId="3" xfId="0" applyFont="1" applyBorder="1" applyAlignment="1">
      <alignment horizontal="justify" vertical="center" wrapText="1"/>
    </xf>
    <xf numFmtId="165" fontId="12" fillId="2" borderId="3" xfId="0" applyFont="1" applyFill="1" applyBorder="1" applyAlignment="1">
      <alignment vertical="center" wrapText="1"/>
    </xf>
    <xf numFmtId="0" fontId="4" fillId="11" borderId="3" xfId="0" applyNumberFormat="1" applyFont="1" applyFill="1" applyBorder="1" applyAlignment="1">
      <alignment horizontal="center" vertical="center" wrapText="1"/>
    </xf>
    <xf numFmtId="1" fontId="12" fillId="0" borderId="3" xfId="5" applyNumberFormat="1" applyFont="1" applyBorder="1" applyAlignment="1">
      <alignment horizontal="center" vertical="center" wrapText="1"/>
    </xf>
    <xf numFmtId="165" fontId="4" fillId="2" borderId="3" xfId="0" applyFont="1" applyFill="1" applyBorder="1" applyAlignment="1">
      <alignment horizontal="center" vertical="center" wrapText="1"/>
    </xf>
    <xf numFmtId="1" fontId="12" fillId="0" borderId="3" xfId="0" applyNumberFormat="1" applyFont="1" applyBorder="1" applyAlignment="1">
      <alignment horizontal="justify" vertical="center" wrapText="1"/>
    </xf>
    <xf numFmtId="0" fontId="12" fillId="16" borderId="3" xfId="2" applyNumberFormat="1" applyFont="1" applyFill="1" applyBorder="1" applyAlignment="1">
      <alignment horizontal="center" vertical="center" wrapText="1"/>
    </xf>
    <xf numFmtId="2" fontId="12" fillId="0" borderId="3" xfId="0" applyNumberFormat="1" applyFont="1" applyBorder="1" applyAlignment="1">
      <alignment horizontal="center" vertical="center" wrapText="1"/>
    </xf>
    <xf numFmtId="43" fontId="12" fillId="0" borderId="3" xfId="1" applyFont="1" applyFill="1" applyBorder="1" applyAlignment="1">
      <alignment horizontal="center" vertical="center" wrapText="1"/>
    </xf>
    <xf numFmtId="1" fontId="4" fillId="16" borderId="3" xfId="0" applyNumberFormat="1" applyFont="1" applyFill="1" applyBorder="1" applyAlignment="1">
      <alignment horizontal="center" vertical="center" wrapText="1"/>
    </xf>
    <xf numFmtId="1" fontId="12" fillId="2" borderId="3" xfId="0" applyNumberFormat="1" applyFont="1" applyFill="1" applyBorder="1" applyAlignment="1">
      <alignment horizontal="justify" vertical="center" wrapText="1"/>
    </xf>
    <xf numFmtId="165" fontId="12" fillId="6" borderId="3" xfId="0" applyFont="1" applyFill="1" applyBorder="1" applyAlignment="1">
      <alignment vertical="center" wrapText="1"/>
    </xf>
    <xf numFmtId="43" fontId="12" fillId="2" borderId="3" xfId="1" applyFont="1" applyFill="1" applyBorder="1" applyAlignment="1">
      <alignment horizontal="center" vertical="center" wrapText="1"/>
    </xf>
    <xf numFmtId="1" fontId="12" fillId="11" borderId="3" xfId="0" applyNumberFormat="1" applyFont="1" applyFill="1" applyBorder="1" applyAlignment="1">
      <alignment horizontal="center" vertical="center" wrapText="1"/>
    </xf>
    <xf numFmtId="1" fontId="4" fillId="2" borderId="3" xfId="0" applyNumberFormat="1" applyFont="1" applyFill="1" applyBorder="1" applyAlignment="1">
      <alignment horizontal="justify" vertical="center" wrapText="1"/>
    </xf>
    <xf numFmtId="177" fontId="12" fillId="11" borderId="3" xfId="0" applyNumberFormat="1" applyFont="1" applyFill="1" applyBorder="1" applyAlignment="1">
      <alignment horizontal="center" vertical="center" wrapText="1"/>
    </xf>
    <xf numFmtId="165" fontId="12" fillId="6" borderId="3" xfId="0" applyFont="1" applyFill="1" applyBorder="1" applyAlignment="1">
      <alignment horizontal="justify" vertical="center" wrapText="1"/>
    </xf>
    <xf numFmtId="165" fontId="4" fillId="2" borderId="3" xfId="0" applyFont="1" applyFill="1" applyBorder="1" applyAlignment="1">
      <alignment horizontal="justify" vertical="center"/>
    </xf>
    <xf numFmtId="165" fontId="4" fillId="2" borderId="3" xfId="0" applyFont="1" applyFill="1" applyBorder="1" applyAlignment="1">
      <alignment horizontal="center" vertical="center"/>
    </xf>
    <xf numFmtId="165" fontId="12" fillId="9" borderId="3" xfId="0" applyFont="1" applyFill="1" applyBorder="1" applyAlignment="1">
      <alignment horizontal="justify" vertical="center"/>
    </xf>
    <xf numFmtId="2" fontId="12" fillId="10" borderId="3" xfId="0" applyNumberFormat="1" applyFont="1" applyFill="1" applyBorder="1" applyAlignment="1">
      <alignment horizontal="center" vertical="center" wrapText="1"/>
    </xf>
    <xf numFmtId="165" fontId="4" fillId="16" borderId="3" xfId="0" applyFont="1" applyFill="1" applyBorder="1" applyAlignment="1">
      <alignment horizontal="center" vertical="center"/>
    </xf>
    <xf numFmtId="0" fontId="12" fillId="0" borderId="3" xfId="0" applyNumberFormat="1" applyFont="1" applyBorder="1" applyAlignment="1" applyProtection="1">
      <alignment horizontal="justify" vertical="center" wrapText="1"/>
      <protection locked="0"/>
    </xf>
    <xf numFmtId="0" fontId="4" fillId="11" borderId="3" xfId="0" applyNumberFormat="1" applyFont="1" applyFill="1" applyBorder="1" applyAlignment="1" applyProtection="1">
      <alignment horizontal="center" vertical="center" wrapText="1"/>
      <protection locked="0"/>
    </xf>
    <xf numFmtId="43" fontId="4" fillId="0" borderId="3" xfId="1" applyFont="1" applyFill="1" applyBorder="1" applyAlignment="1">
      <alignment horizontal="center" vertical="center"/>
    </xf>
    <xf numFmtId="165" fontId="4" fillId="2" borderId="3" xfId="0" applyFont="1" applyFill="1" applyBorder="1" applyAlignment="1">
      <alignment horizontal="justify" vertical="center" wrapText="1"/>
    </xf>
    <xf numFmtId="0" fontId="12" fillId="0" borderId="3" xfId="6" applyNumberFormat="1" applyFont="1" applyFill="1" applyBorder="1" applyAlignment="1">
      <alignment horizontal="justify" vertical="center" wrapText="1"/>
    </xf>
    <xf numFmtId="0" fontId="12" fillId="11" borderId="3" xfId="5" applyFont="1" applyFill="1" applyBorder="1" applyAlignment="1">
      <alignment horizontal="center" vertical="center" wrapText="1"/>
    </xf>
    <xf numFmtId="0" fontId="12" fillId="2" borderId="3" xfId="5" applyFont="1" applyFill="1" applyBorder="1" applyAlignment="1">
      <alignment horizontal="justify" vertical="center"/>
    </xf>
    <xf numFmtId="0" fontId="4" fillId="16" borderId="3" xfId="5" applyFont="1" applyFill="1" applyBorder="1" applyAlignment="1">
      <alignment horizontal="center" vertical="center"/>
    </xf>
    <xf numFmtId="1" fontId="12" fillId="0" borderId="3" xfId="1" applyNumberFormat="1" applyFont="1" applyFill="1" applyBorder="1" applyAlignment="1">
      <alignment horizontal="center" vertical="center" wrapText="1"/>
    </xf>
    <xf numFmtId="169" fontId="12" fillId="0" borderId="3" xfId="1" applyNumberFormat="1" applyFont="1" applyFill="1" applyBorder="1" applyAlignment="1">
      <alignment horizontal="center" vertical="center"/>
    </xf>
    <xf numFmtId="0" fontId="12" fillId="9" borderId="3" xfId="6" applyNumberFormat="1" applyFont="1" applyFill="1" applyBorder="1" applyAlignment="1">
      <alignment horizontal="justify" vertical="center" wrapText="1"/>
    </xf>
    <xf numFmtId="165" fontId="12" fillId="9" borderId="3" xfId="0" applyFont="1" applyFill="1" applyBorder="1" applyAlignment="1">
      <alignment horizontal="justify" vertical="center" wrapText="1"/>
    </xf>
    <xf numFmtId="0" fontId="12" fillId="11" borderId="3" xfId="7" applyFont="1" applyFill="1" applyBorder="1">
      <alignment horizontal="center" vertical="center" wrapText="1"/>
    </xf>
    <xf numFmtId="0" fontId="12" fillId="10" borderId="3" xfId="6" applyNumberFormat="1" applyFont="1" applyFill="1" applyBorder="1">
      <alignment horizontal="center" vertical="center" wrapText="1"/>
    </xf>
    <xf numFmtId="0" fontId="12" fillId="10" borderId="3" xfId="5" applyFont="1" applyFill="1" applyBorder="1" applyAlignment="1">
      <alignment horizontal="justify" vertical="center" wrapText="1"/>
    </xf>
    <xf numFmtId="0" fontId="12" fillId="0" borderId="3" xfId="7" applyFont="1" applyFill="1" applyBorder="1" applyAlignment="1">
      <alignment horizontal="justify" vertical="center" wrapText="1"/>
    </xf>
    <xf numFmtId="0" fontId="4" fillId="16" borderId="3" xfId="7" applyFont="1" applyFill="1" applyBorder="1">
      <alignment horizontal="center" vertical="center" wrapText="1"/>
    </xf>
    <xf numFmtId="0" fontId="12" fillId="10" borderId="3" xfId="7" applyFont="1" applyFill="1" applyBorder="1">
      <alignment horizontal="center" vertical="center" wrapText="1"/>
    </xf>
    <xf numFmtId="1" fontId="12" fillId="0" borderId="3" xfId="0" applyNumberFormat="1" applyFont="1" applyBorder="1" applyAlignment="1" applyProtection="1">
      <alignment horizontal="center" vertical="center"/>
      <protection locked="0"/>
    </xf>
    <xf numFmtId="2" fontId="12" fillId="10" borderId="3" xfId="5" applyNumberFormat="1" applyFont="1" applyFill="1" applyBorder="1" applyAlignment="1">
      <alignment horizontal="center" vertical="center" wrapText="1"/>
    </xf>
    <xf numFmtId="170" fontId="12" fillId="0" borderId="3" xfId="0" applyNumberFormat="1" applyFont="1" applyBorder="1" applyAlignment="1">
      <alignment horizontal="center" vertical="center"/>
    </xf>
    <xf numFmtId="49" fontId="12" fillId="2" borderId="3" xfId="0" applyNumberFormat="1" applyFont="1" applyFill="1" applyBorder="1" applyAlignment="1">
      <alignment horizontal="justify" vertical="center" wrapText="1"/>
    </xf>
    <xf numFmtId="170" fontId="12" fillId="2" borderId="3" xfId="0" applyNumberFormat="1" applyFont="1" applyFill="1" applyBorder="1" applyAlignment="1">
      <alignment horizontal="center" vertical="center"/>
    </xf>
    <xf numFmtId="43" fontId="12" fillId="2" borderId="0" xfId="1" applyFont="1" applyFill="1" applyBorder="1" applyAlignment="1">
      <alignment horizontal="center" vertical="center"/>
    </xf>
    <xf numFmtId="43" fontId="4" fillId="0" borderId="3" xfId="1" applyFont="1" applyFill="1" applyBorder="1" applyAlignment="1">
      <alignment horizontal="center" vertical="center" wrapText="1"/>
    </xf>
    <xf numFmtId="3" fontId="12" fillId="0" borderId="3" xfId="0" applyNumberFormat="1" applyFont="1" applyBorder="1" applyAlignment="1">
      <alignment horizontal="center" vertical="center" wrapText="1"/>
    </xf>
    <xf numFmtId="0" fontId="12" fillId="2" borderId="3" xfId="0" applyNumberFormat="1" applyFont="1" applyFill="1" applyBorder="1" applyAlignment="1">
      <alignment horizontal="left" vertical="center" wrapText="1"/>
    </xf>
    <xf numFmtId="3" fontId="12" fillId="2" borderId="3" xfId="0" applyNumberFormat="1" applyFont="1" applyFill="1" applyBorder="1" applyAlignment="1">
      <alignment horizontal="center" vertical="center" wrapText="1"/>
    </xf>
    <xf numFmtId="49" fontId="12" fillId="2" borderId="3" xfId="5" applyNumberFormat="1" applyFont="1" applyFill="1" applyBorder="1" applyAlignment="1">
      <alignment horizontal="justify" vertical="center" wrapText="1"/>
    </xf>
    <xf numFmtId="49" fontId="4" fillId="9" borderId="3" xfId="0" applyNumberFormat="1" applyFont="1" applyFill="1" applyBorder="1" applyAlignment="1">
      <alignment horizontal="center" vertical="center" wrapText="1"/>
    </xf>
    <xf numFmtId="49" fontId="12" fillId="9" borderId="3" xfId="0" applyNumberFormat="1" applyFont="1" applyFill="1" applyBorder="1" applyAlignment="1">
      <alignment horizontal="justify" vertical="center" wrapText="1"/>
    </xf>
    <xf numFmtId="49" fontId="12" fillId="0" borderId="3" xfId="0" applyNumberFormat="1" applyFont="1" applyBorder="1" applyAlignment="1">
      <alignment horizontal="justify" vertical="center" wrapText="1"/>
    </xf>
    <xf numFmtId="1" fontId="12" fillId="0" borderId="3" xfId="9" applyNumberFormat="1" applyFont="1" applyFill="1" applyBorder="1" applyAlignment="1">
      <alignment horizontal="center" vertical="center"/>
    </xf>
    <xf numFmtId="0" fontId="12" fillId="10" borderId="3" xfId="0" applyNumberFormat="1" applyFont="1" applyFill="1" applyBorder="1" applyAlignment="1">
      <alignment horizontal="justify" vertical="center" wrapText="1"/>
    </xf>
    <xf numFmtId="49" fontId="12" fillId="2" borderId="3" xfId="0" applyNumberFormat="1" applyFont="1" applyFill="1" applyBorder="1" applyAlignment="1">
      <alignment horizontal="justify" vertical="center"/>
    </xf>
    <xf numFmtId="165" fontId="12" fillId="0" borderId="0" xfId="0" applyFont="1" applyAlignment="1">
      <alignment horizontal="center" vertical="center" wrapText="1"/>
    </xf>
    <xf numFmtId="165" fontId="12" fillId="2" borderId="0" xfId="0" applyFont="1" applyFill="1" applyAlignment="1">
      <alignment horizontal="center" vertical="center" wrapText="1"/>
    </xf>
    <xf numFmtId="49" fontId="4" fillId="2" borderId="3" xfId="0" applyNumberFormat="1" applyFont="1" applyFill="1" applyBorder="1" applyAlignment="1">
      <alignment horizontal="center" vertical="center"/>
    </xf>
    <xf numFmtId="49" fontId="4" fillId="16" borderId="3" xfId="0" applyNumberFormat="1" applyFont="1" applyFill="1" applyBorder="1" applyAlignment="1">
      <alignment horizontal="center" vertical="center"/>
    </xf>
    <xf numFmtId="0" fontId="12" fillId="4" borderId="3" xfId="5" applyFont="1" applyFill="1" applyBorder="1" applyAlignment="1">
      <alignment horizontal="justify" vertical="center" wrapText="1"/>
    </xf>
    <xf numFmtId="0" fontId="12" fillId="4" borderId="3" xfId="0" applyNumberFormat="1" applyFont="1" applyFill="1" applyBorder="1" applyAlignment="1">
      <alignment horizontal="justify" vertical="center" wrapText="1"/>
    </xf>
    <xf numFmtId="3" fontId="12" fillId="4" borderId="3" xfId="0" applyNumberFormat="1" applyFont="1" applyFill="1" applyBorder="1" applyAlignment="1">
      <alignment horizontal="center" vertical="center" wrapText="1"/>
    </xf>
    <xf numFmtId="49" fontId="12" fillId="4" borderId="3" xfId="0" applyNumberFormat="1" applyFont="1" applyFill="1" applyBorder="1" applyAlignment="1">
      <alignment horizontal="justify" vertical="center" wrapText="1"/>
    </xf>
    <xf numFmtId="43" fontId="12" fillId="4" borderId="3" xfId="1" applyFont="1" applyFill="1" applyBorder="1" applyAlignment="1">
      <alignment horizontal="center" vertical="center"/>
    </xf>
    <xf numFmtId="165" fontId="12" fillId="4" borderId="3" xfId="0" applyFont="1" applyFill="1" applyBorder="1" applyAlignment="1">
      <alignment horizontal="justify" vertical="center" wrapText="1"/>
    </xf>
    <xf numFmtId="165" fontId="12" fillId="4" borderId="0" xfId="0" applyFont="1" applyFill="1" applyAlignment="1">
      <alignment horizontal="center" vertical="center"/>
    </xf>
    <xf numFmtId="0" fontId="12" fillId="2" borderId="3" xfId="5" applyFont="1" applyFill="1" applyBorder="1" applyAlignment="1">
      <alignment horizontal="left" vertical="center" wrapText="1"/>
    </xf>
    <xf numFmtId="172" fontId="12" fillId="0" borderId="3" xfId="3" applyNumberFormat="1" applyFont="1" applyFill="1" applyBorder="1" applyAlignment="1">
      <alignment horizontal="justify" vertical="center" wrapText="1"/>
    </xf>
    <xf numFmtId="172" fontId="12" fillId="2" borderId="3" xfId="3" applyNumberFormat="1" applyFont="1" applyFill="1" applyBorder="1" applyAlignment="1">
      <alignment horizontal="justify" vertical="center" wrapText="1"/>
    </xf>
    <xf numFmtId="0" fontId="12" fillId="2" borderId="3" xfId="0" applyNumberFormat="1" applyFont="1" applyFill="1" applyBorder="1" applyAlignment="1">
      <alignment horizontal="justify" vertical="center"/>
    </xf>
    <xf numFmtId="0" fontId="12" fillId="2" borderId="3" xfId="6" applyNumberFormat="1" applyFont="1" applyFill="1" applyBorder="1" applyAlignment="1">
      <alignment horizontal="justify" vertical="center" wrapText="1"/>
    </xf>
    <xf numFmtId="165" fontId="12" fillId="4" borderId="3" xfId="0" applyFont="1" applyFill="1" applyBorder="1" applyAlignment="1">
      <alignment horizontal="center" vertical="center" wrapText="1"/>
    </xf>
    <xf numFmtId="0" fontId="12" fillId="2" borderId="3" xfId="5" applyFont="1" applyFill="1" applyBorder="1" applyAlignment="1">
      <alignment horizontal="justify" vertical="center" wrapText="1" shrinkToFit="1"/>
    </xf>
    <xf numFmtId="43" fontId="4" fillId="2" borderId="3" xfId="1" applyFont="1" applyFill="1" applyBorder="1" applyAlignment="1">
      <alignment horizontal="center" vertical="center"/>
    </xf>
    <xf numFmtId="1" fontId="12" fillId="2" borderId="3" xfId="5" applyNumberFormat="1" applyFont="1" applyFill="1" applyBorder="1" applyAlignment="1">
      <alignment horizontal="justify" vertical="center" wrapText="1"/>
    </xf>
    <xf numFmtId="1" fontId="12" fillId="4" borderId="3" xfId="1" applyNumberFormat="1" applyFont="1" applyFill="1" applyBorder="1" applyAlignment="1">
      <alignment horizontal="center" vertical="center" wrapText="1"/>
    </xf>
    <xf numFmtId="43" fontId="12" fillId="4" borderId="3" xfId="1" applyFont="1" applyFill="1" applyBorder="1" applyAlignment="1">
      <alignment horizontal="center" vertical="center" wrapText="1"/>
    </xf>
    <xf numFmtId="1" fontId="12" fillId="2" borderId="3" xfId="1" applyNumberFormat="1" applyFont="1" applyFill="1" applyBorder="1" applyAlignment="1">
      <alignment horizontal="center" vertical="center" wrapText="1"/>
    </xf>
    <xf numFmtId="43" fontId="4" fillId="4" borderId="3" xfId="1" applyFont="1" applyFill="1" applyBorder="1" applyAlignment="1">
      <alignment horizontal="center" vertical="center"/>
    </xf>
    <xf numFmtId="168" fontId="12" fillId="0" borderId="3" xfId="0" applyNumberFormat="1" applyFont="1" applyBorder="1" applyAlignment="1">
      <alignment horizontal="justify" vertical="center" wrapText="1"/>
    </xf>
    <xf numFmtId="0" fontId="4" fillId="2" borderId="3" xfId="5" applyFont="1" applyFill="1" applyBorder="1" applyAlignment="1">
      <alignment horizontal="justify" vertical="center" wrapText="1"/>
    </xf>
    <xf numFmtId="168" fontId="12" fillId="4" borderId="3" xfId="0" applyNumberFormat="1" applyFont="1" applyFill="1" applyBorder="1" applyAlignment="1">
      <alignment horizontal="justify" vertical="center" wrapText="1"/>
    </xf>
    <xf numFmtId="0" fontId="12" fillId="4" borderId="3" xfId="8" applyNumberFormat="1" applyFont="1" applyFill="1" applyBorder="1" applyAlignment="1">
      <alignment horizontal="justify" vertical="center" wrapText="1"/>
    </xf>
    <xf numFmtId="0" fontId="12" fillId="4" borderId="3" xfId="6" applyNumberFormat="1" applyFont="1" applyFill="1" applyBorder="1" applyAlignment="1">
      <alignment horizontal="justify" vertical="center" wrapText="1"/>
    </xf>
    <xf numFmtId="43" fontId="12" fillId="4" borderId="0" xfId="1" applyFont="1" applyFill="1" applyAlignment="1">
      <alignment horizontal="center" vertical="center"/>
    </xf>
    <xf numFmtId="0" fontId="12" fillId="4" borderId="9" xfId="0" applyNumberFormat="1" applyFont="1" applyFill="1" applyBorder="1" applyAlignment="1">
      <alignment horizontal="justify" vertical="center" wrapText="1"/>
    </xf>
    <xf numFmtId="0" fontId="12" fillId="4" borderId="9" xfId="0" applyNumberFormat="1" applyFont="1" applyFill="1" applyBorder="1" applyAlignment="1" applyProtection="1">
      <alignment horizontal="justify" vertical="center" wrapText="1"/>
      <protection locked="0"/>
    </xf>
    <xf numFmtId="0" fontId="12" fillId="4" borderId="9" xfId="5" applyFont="1" applyFill="1" applyBorder="1" applyAlignment="1">
      <alignment horizontal="justify" vertical="center" wrapText="1"/>
    </xf>
    <xf numFmtId="1" fontId="12" fillId="4" borderId="9" xfId="0" applyNumberFormat="1" applyFont="1" applyFill="1" applyBorder="1" applyAlignment="1">
      <alignment horizontal="center" vertical="center" wrapText="1"/>
    </xf>
    <xf numFmtId="0" fontId="12" fillId="4" borderId="9" xfId="6" applyNumberFormat="1" applyFont="1" applyFill="1" applyBorder="1" applyAlignment="1">
      <alignment horizontal="justify" vertical="center" wrapText="1"/>
    </xf>
    <xf numFmtId="43" fontId="12" fillId="4" borderId="9" xfId="1" applyFont="1" applyFill="1" applyBorder="1" applyAlignment="1">
      <alignment horizontal="center" vertical="center"/>
    </xf>
    <xf numFmtId="168" fontId="12" fillId="4" borderId="9" xfId="0" applyNumberFormat="1" applyFont="1" applyFill="1" applyBorder="1" applyAlignment="1">
      <alignment horizontal="justify" vertical="center" wrapText="1"/>
    </xf>
    <xf numFmtId="0" fontId="12" fillId="2" borderId="3" xfId="0" applyNumberFormat="1" applyFont="1" applyFill="1" applyBorder="1" applyAlignment="1" applyProtection="1">
      <alignment horizontal="justify" vertical="center" wrapText="1"/>
      <protection locked="0"/>
    </xf>
    <xf numFmtId="0" fontId="12" fillId="2" borderId="11" xfId="0" applyNumberFormat="1" applyFont="1" applyFill="1" applyBorder="1" applyAlignment="1">
      <alignment horizontal="center" vertical="center" wrapText="1"/>
    </xf>
    <xf numFmtId="0" fontId="12" fillId="2" borderId="11" xfId="0" applyNumberFormat="1" applyFont="1" applyFill="1" applyBorder="1" applyAlignment="1">
      <alignment horizontal="justify" vertical="center" wrapText="1"/>
    </xf>
    <xf numFmtId="165" fontId="12" fillId="2" borderId="11" xfId="0" applyFont="1" applyFill="1" applyBorder="1" applyAlignment="1">
      <alignment horizontal="center" vertical="center" wrapText="1"/>
    </xf>
    <xf numFmtId="165" fontId="12" fillId="2" borderId="11" xfId="0" applyFont="1" applyFill="1" applyBorder="1" applyAlignment="1">
      <alignment horizontal="justify" vertical="center" wrapText="1"/>
    </xf>
    <xf numFmtId="0" fontId="12" fillId="2" borderId="11" xfId="0" applyNumberFormat="1" applyFont="1" applyFill="1" applyBorder="1" applyAlignment="1" applyProtection="1">
      <alignment horizontal="justify" vertical="center" wrapText="1"/>
      <protection locked="0"/>
    </xf>
    <xf numFmtId="1" fontId="12" fillId="2" borderId="11" xfId="0" applyNumberFormat="1" applyFont="1" applyFill="1" applyBorder="1" applyAlignment="1">
      <alignment horizontal="center" vertical="center" wrapText="1"/>
    </xf>
    <xf numFmtId="0" fontId="12" fillId="2" borderId="11" xfId="6" applyNumberFormat="1" applyFont="1" applyFill="1" applyBorder="1" applyAlignment="1">
      <alignment horizontal="justify" vertical="center" wrapText="1"/>
    </xf>
    <xf numFmtId="43" fontId="12" fillId="2" borderId="11" xfId="1" applyFont="1" applyFill="1" applyBorder="1" applyAlignment="1">
      <alignment horizontal="center" vertical="center"/>
    </xf>
    <xf numFmtId="168" fontId="12" fillId="2" borderId="11" xfId="0" applyNumberFormat="1" applyFont="1" applyFill="1" applyBorder="1" applyAlignment="1">
      <alignment horizontal="justify" vertical="center" wrapText="1"/>
    </xf>
    <xf numFmtId="0" fontId="12" fillId="4" borderId="3" xfId="0" applyNumberFormat="1" applyFont="1" applyFill="1" applyBorder="1" applyAlignment="1" applyProtection="1">
      <alignment horizontal="justify" vertical="center" wrapText="1"/>
      <protection locked="0"/>
    </xf>
    <xf numFmtId="49" fontId="12" fillId="4" borderId="3" xfId="5" applyNumberFormat="1" applyFont="1" applyFill="1" applyBorder="1" applyAlignment="1">
      <alignment horizontal="justify" vertical="center" wrapText="1"/>
    </xf>
    <xf numFmtId="165" fontId="12" fillId="4" borderId="0" xfId="0" applyFont="1" applyFill="1" applyAlignment="1">
      <alignment horizontal="center" vertical="center" wrapText="1"/>
    </xf>
    <xf numFmtId="3" fontId="12" fillId="4" borderId="3" xfId="0" applyNumberFormat="1" applyFont="1" applyFill="1" applyBorder="1" applyAlignment="1">
      <alignment horizontal="justify" vertical="center" wrapText="1"/>
    </xf>
    <xf numFmtId="3" fontId="12" fillId="0" borderId="3" xfId="0" applyNumberFormat="1" applyFont="1" applyBorder="1" applyAlignment="1">
      <alignment horizontal="justify" vertical="center" wrapText="1"/>
    </xf>
    <xf numFmtId="0" fontId="12" fillId="0" borderId="3" xfId="0" applyNumberFormat="1" applyFont="1" applyFill="1" applyBorder="1" applyAlignment="1">
      <alignment horizontal="justify" vertical="center" wrapText="1"/>
    </xf>
    <xf numFmtId="0" fontId="12" fillId="0" borderId="3" xfId="5" applyFont="1" applyFill="1" applyBorder="1" applyAlignment="1">
      <alignment horizontal="justify" vertical="center" wrapText="1"/>
    </xf>
    <xf numFmtId="1" fontId="12" fillId="0" borderId="3" xfId="0" applyNumberFormat="1" applyFont="1" applyFill="1" applyBorder="1" applyAlignment="1">
      <alignment horizontal="center" vertical="center" wrapText="1"/>
    </xf>
    <xf numFmtId="168" fontId="12" fillId="0" borderId="3" xfId="0" applyNumberFormat="1" applyFont="1" applyFill="1" applyBorder="1" applyAlignment="1">
      <alignment horizontal="justify" vertical="center" wrapText="1"/>
    </xf>
    <xf numFmtId="165" fontId="12" fillId="0" borderId="0" xfId="0" applyFont="1" applyFill="1" applyAlignment="1">
      <alignment horizontal="center" vertical="center"/>
    </xf>
    <xf numFmtId="165" fontId="12" fillId="0" borderId="3" xfId="0" applyFont="1" applyFill="1" applyBorder="1" applyAlignment="1">
      <alignment horizontal="justify" vertical="center" wrapText="1"/>
    </xf>
    <xf numFmtId="165" fontId="12" fillId="0" borderId="3" xfId="0" applyFont="1" applyFill="1" applyBorder="1" applyAlignment="1">
      <alignment horizontal="center" vertical="center" wrapText="1"/>
    </xf>
    <xf numFmtId="3" fontId="12" fillId="0" borderId="3" xfId="0" applyNumberFormat="1" applyFont="1" applyFill="1" applyBorder="1" applyAlignment="1">
      <alignment horizontal="justify" vertical="center" wrapText="1"/>
    </xf>
    <xf numFmtId="41" fontId="12" fillId="2" borderId="3" xfId="2" applyFont="1" applyFill="1" applyBorder="1" applyAlignment="1">
      <alignment horizontal="center" vertical="center"/>
    </xf>
    <xf numFmtId="43" fontId="12" fillId="2" borderId="3" xfId="1" applyFont="1" applyFill="1" applyBorder="1" applyAlignment="1">
      <alignment vertical="center" wrapText="1"/>
    </xf>
    <xf numFmtId="165" fontId="4" fillId="2" borderId="3" xfId="0" applyFont="1" applyFill="1" applyBorder="1" applyAlignment="1">
      <alignment horizontal="left" vertical="center" wrapText="1"/>
    </xf>
    <xf numFmtId="43" fontId="27" fillId="2" borderId="3" xfId="1" applyFont="1" applyFill="1" applyBorder="1" applyAlignment="1">
      <alignment vertical="center" wrapText="1"/>
    </xf>
    <xf numFmtId="43" fontId="12" fillId="0" borderId="3" xfId="1" applyFont="1" applyBorder="1" applyAlignment="1">
      <alignment vertical="center"/>
    </xf>
    <xf numFmtId="43" fontId="12" fillId="4" borderId="3" xfId="1" applyFont="1" applyFill="1" applyBorder="1" applyAlignment="1">
      <alignment vertical="center"/>
    </xf>
    <xf numFmtId="43" fontId="12" fillId="0" borderId="3" xfId="1" applyFont="1" applyBorder="1" applyAlignment="1">
      <alignment horizontal="center" vertical="center"/>
    </xf>
    <xf numFmtId="43" fontId="12" fillId="0" borderId="3" xfId="1" applyFont="1" applyFill="1" applyBorder="1" applyAlignment="1">
      <alignment horizontal="left" vertical="center"/>
    </xf>
    <xf numFmtId="165" fontId="12" fillId="4" borderId="3" xfId="0" applyFont="1" applyFill="1" applyBorder="1" applyAlignment="1">
      <alignment horizontal="center" vertical="center"/>
    </xf>
    <xf numFmtId="43" fontId="12" fillId="4" borderId="3" xfId="1" applyFont="1" applyFill="1" applyBorder="1" applyAlignment="1">
      <alignment horizontal="left" vertical="center"/>
    </xf>
    <xf numFmtId="0" fontId="12" fillId="0" borderId="12" xfId="0" applyNumberFormat="1" applyFont="1" applyBorder="1" applyAlignment="1">
      <alignment horizontal="center" vertical="center" wrapText="1"/>
    </xf>
    <xf numFmtId="165" fontId="12" fillId="6" borderId="3" xfId="0" applyFont="1" applyFill="1" applyBorder="1" applyAlignment="1">
      <alignment horizontal="center" vertical="center"/>
    </xf>
    <xf numFmtId="165" fontId="12" fillId="9" borderId="0" xfId="0" applyFont="1" applyFill="1" applyAlignment="1">
      <alignment horizontal="center" vertical="center"/>
    </xf>
    <xf numFmtId="165" fontId="12" fillId="4" borderId="0" xfId="0" applyFont="1" applyFill="1"/>
    <xf numFmtId="0" fontId="4" fillId="14" borderId="3" xfId="0" applyNumberFormat="1" applyFont="1" applyFill="1" applyBorder="1" applyAlignment="1">
      <alignment horizontal="center" vertical="center" wrapText="1"/>
    </xf>
    <xf numFmtId="0" fontId="12" fillId="14" borderId="3" xfId="0" applyNumberFormat="1" applyFont="1" applyFill="1" applyBorder="1" applyAlignment="1">
      <alignment horizontal="justify" vertical="center" wrapText="1"/>
    </xf>
    <xf numFmtId="0" fontId="12" fillId="14" borderId="3" xfId="5" applyFont="1" applyFill="1" applyBorder="1" applyAlignment="1">
      <alignment horizontal="justify" vertical="center" wrapText="1"/>
    </xf>
    <xf numFmtId="165" fontId="12" fillId="14" borderId="3" xfId="0" applyFont="1" applyFill="1" applyBorder="1" applyAlignment="1">
      <alignment horizontal="center" vertical="center" wrapText="1"/>
    </xf>
    <xf numFmtId="1" fontId="12" fillId="14" borderId="3" xfId="0" applyNumberFormat="1" applyFont="1" applyFill="1" applyBorder="1" applyAlignment="1">
      <alignment horizontal="center" vertical="center" wrapText="1"/>
    </xf>
    <xf numFmtId="3" fontId="12" fillId="14" borderId="3" xfId="0" applyNumberFormat="1" applyFont="1" applyFill="1" applyBorder="1" applyAlignment="1">
      <alignment horizontal="justify" vertical="center" wrapText="1"/>
    </xf>
    <xf numFmtId="43" fontId="12" fillId="14" borderId="3" xfId="1" applyFont="1" applyFill="1" applyBorder="1" applyAlignment="1">
      <alignment horizontal="center" vertical="center"/>
    </xf>
    <xf numFmtId="165" fontId="27" fillId="14" borderId="3" xfId="0" applyFont="1" applyFill="1" applyBorder="1" applyAlignment="1">
      <alignment wrapText="1"/>
    </xf>
    <xf numFmtId="168" fontId="12" fillId="14" borderId="3" xfId="0" applyNumberFormat="1" applyFont="1" applyFill="1" applyBorder="1" applyAlignment="1">
      <alignment horizontal="justify" vertical="center" wrapText="1"/>
    </xf>
    <xf numFmtId="165" fontId="12" fillId="14" borderId="0" xfId="0" applyFont="1" applyFill="1"/>
    <xf numFmtId="165" fontId="12" fillId="14" borderId="0" xfId="0" applyFont="1" applyFill="1" applyAlignment="1">
      <alignment horizontal="center" vertical="center"/>
    </xf>
    <xf numFmtId="1" fontId="12" fillId="4" borderId="11" xfId="0" applyNumberFormat="1" applyFont="1" applyFill="1" applyBorder="1" applyAlignment="1">
      <alignment horizontal="justify" vertical="center" wrapText="1"/>
    </xf>
    <xf numFmtId="0" fontId="12" fillId="4" borderId="11" xfId="0" applyNumberFormat="1" applyFont="1" applyFill="1" applyBorder="1" applyAlignment="1">
      <alignment horizontal="center" vertical="center" wrapText="1"/>
    </xf>
    <xf numFmtId="0" fontId="12" fillId="4" borderId="11" xfId="0" applyNumberFormat="1" applyFont="1" applyFill="1" applyBorder="1" applyAlignment="1">
      <alignment horizontal="justify" vertical="center" wrapText="1"/>
    </xf>
    <xf numFmtId="165" fontId="12" fillId="4" borderId="11" xfId="0" applyFont="1" applyFill="1" applyBorder="1" applyAlignment="1">
      <alignment horizontal="justify" vertical="center" wrapText="1"/>
    </xf>
    <xf numFmtId="165" fontId="12" fillId="4" borderId="12" xfId="0" applyFont="1" applyFill="1" applyBorder="1" applyAlignment="1">
      <alignment horizontal="center" vertical="center" wrapText="1"/>
    </xf>
    <xf numFmtId="165" fontId="12" fillId="4" borderId="13" xfId="0" applyFont="1" applyFill="1" applyBorder="1" applyAlignment="1">
      <alignment horizontal="center" vertical="center" wrapText="1"/>
    </xf>
    <xf numFmtId="43" fontId="12" fillId="4" borderId="12" xfId="1" applyFont="1" applyFill="1" applyBorder="1" applyAlignment="1">
      <alignment horizontal="center" vertical="center"/>
    </xf>
    <xf numFmtId="165" fontId="12" fillId="4" borderId="12" xfId="0" applyFont="1" applyFill="1" applyBorder="1" applyAlignment="1">
      <alignment horizontal="center" vertical="center"/>
    </xf>
    <xf numFmtId="168" fontId="12" fillId="4" borderId="3" xfId="0" applyNumberFormat="1" applyFont="1" applyFill="1" applyBorder="1" applyAlignment="1">
      <alignment horizontal="center" vertical="center" wrapText="1"/>
    </xf>
    <xf numFmtId="165" fontId="12" fillId="14" borderId="0" xfId="0" applyFont="1" applyFill="1" applyAlignment="1">
      <alignment vertical="center"/>
    </xf>
    <xf numFmtId="0" fontId="12" fillId="4" borderId="7" xfId="0" applyNumberFormat="1" applyFont="1" applyFill="1" applyBorder="1" applyAlignment="1">
      <alignment horizontal="justify" vertical="center" wrapText="1"/>
    </xf>
    <xf numFmtId="165" fontId="12" fillId="4" borderId="7" xfId="0" applyFont="1" applyFill="1" applyBorder="1" applyAlignment="1">
      <alignment horizontal="justify" vertical="center" wrapText="1"/>
    </xf>
    <xf numFmtId="0" fontId="12" fillId="4" borderId="7" xfId="5" applyFont="1" applyFill="1" applyBorder="1" applyAlignment="1">
      <alignment horizontal="justify" vertical="center" wrapText="1"/>
    </xf>
    <xf numFmtId="1" fontId="12" fillId="4" borderId="7" xfId="0" applyNumberFormat="1" applyFont="1" applyFill="1" applyBorder="1" applyAlignment="1">
      <alignment horizontal="center" vertical="center" wrapText="1"/>
    </xf>
    <xf numFmtId="3" fontId="12" fillId="4" borderId="7" xfId="0" applyNumberFormat="1" applyFont="1" applyFill="1" applyBorder="1" applyAlignment="1">
      <alignment horizontal="justify" vertical="center" wrapText="1"/>
    </xf>
    <xf numFmtId="43" fontId="12" fillId="4" borderId="7" xfId="1" applyFont="1" applyFill="1" applyBorder="1" applyAlignment="1">
      <alignment horizontal="center" vertical="center"/>
    </xf>
    <xf numFmtId="43" fontId="12" fillId="4" borderId="10" xfId="1" applyFont="1" applyFill="1" applyBorder="1" applyAlignment="1">
      <alignment horizontal="center" vertical="center"/>
    </xf>
    <xf numFmtId="0" fontId="12" fillId="4" borderId="14" xfId="0" applyNumberFormat="1" applyFont="1" applyFill="1" applyBorder="1" applyAlignment="1">
      <alignment horizontal="center" vertical="center" wrapText="1"/>
    </xf>
    <xf numFmtId="0" fontId="12" fillId="4" borderId="14" xfId="0" applyNumberFormat="1" applyFont="1" applyFill="1" applyBorder="1" applyAlignment="1">
      <alignment horizontal="justify" vertical="center" wrapText="1"/>
    </xf>
    <xf numFmtId="1" fontId="12" fillId="4" borderId="14" xfId="0" applyNumberFormat="1" applyFont="1" applyFill="1" applyBorder="1" applyAlignment="1">
      <alignment horizontal="center" vertical="center" wrapText="1"/>
    </xf>
    <xf numFmtId="3" fontId="12" fillId="4" borderId="14" xfId="0" applyNumberFormat="1" applyFont="1" applyFill="1" applyBorder="1" applyAlignment="1">
      <alignment horizontal="justify" vertical="center" wrapText="1"/>
    </xf>
    <xf numFmtId="165" fontId="4" fillId="5" borderId="3" xfId="0" applyFont="1" applyFill="1" applyBorder="1" applyAlignment="1">
      <alignment horizontal="center" vertical="center"/>
    </xf>
    <xf numFmtId="165" fontId="12" fillId="5" borderId="3" xfId="0" applyFont="1" applyFill="1" applyBorder="1" applyAlignment="1">
      <alignment horizontal="center" vertical="center" wrapText="1"/>
    </xf>
    <xf numFmtId="167" fontId="12" fillId="5" borderId="3" xfId="1" applyNumberFormat="1" applyFont="1" applyFill="1" applyBorder="1" applyAlignment="1">
      <alignment horizontal="center" vertical="center"/>
    </xf>
    <xf numFmtId="43" fontId="4" fillId="5" borderId="3" xfId="1" applyFont="1" applyFill="1" applyBorder="1" applyAlignment="1">
      <alignment horizontal="center" vertical="center"/>
    </xf>
    <xf numFmtId="43" fontId="28" fillId="5" borderId="3" xfId="1" applyFont="1" applyFill="1" applyBorder="1" applyAlignment="1">
      <alignment horizontal="center" vertical="center"/>
    </xf>
    <xf numFmtId="165" fontId="12" fillId="0" borderId="0" xfId="0" applyFont="1" applyAlignment="1">
      <alignment horizontal="justify" vertical="center" wrapText="1"/>
    </xf>
    <xf numFmtId="0" fontId="12" fillId="0" borderId="0" xfId="1" applyNumberFormat="1" applyFont="1" applyAlignment="1">
      <alignment horizontal="center" vertical="center" wrapText="1"/>
    </xf>
    <xf numFmtId="0" fontId="12" fillId="0" borderId="0" xfId="0" applyNumberFormat="1" applyFont="1" applyAlignment="1">
      <alignment horizontal="justify" vertical="center" wrapText="1"/>
    </xf>
    <xf numFmtId="165" fontId="12" fillId="4" borderId="0" xfId="0" applyFont="1" applyFill="1" applyAlignment="1">
      <alignment vertical="center"/>
    </xf>
    <xf numFmtId="173" fontId="12" fillId="0" borderId="0" xfId="8" applyNumberFormat="1" applyFont="1" applyAlignment="1">
      <alignment horizontal="center" vertical="center"/>
    </xf>
    <xf numFmtId="165" fontId="12" fillId="4" borderId="0" xfId="0" applyFont="1" applyFill="1" applyAlignment="1">
      <alignment horizontal="left" vertical="center"/>
    </xf>
    <xf numFmtId="167" fontId="12" fillId="0" borderId="0" xfId="1" applyNumberFormat="1" applyFont="1" applyFill="1" applyAlignment="1">
      <alignment horizontal="center" vertical="center"/>
    </xf>
    <xf numFmtId="165" fontId="4" fillId="4" borderId="0" xfId="0" applyFont="1" applyFill="1" applyAlignment="1">
      <alignment horizontal="left" vertical="center"/>
    </xf>
    <xf numFmtId="165" fontId="12" fillId="0" borderId="0" xfId="0" applyFont="1" applyAlignment="1">
      <alignment horizontal="center" wrapText="1"/>
    </xf>
    <xf numFmtId="165" fontId="12" fillId="0" borderId="0" xfId="0" applyFont="1" applyAlignment="1">
      <alignment horizontal="justify" wrapText="1"/>
    </xf>
    <xf numFmtId="0" fontId="12" fillId="0" borderId="0" xfId="0" applyNumberFormat="1" applyFont="1" applyAlignment="1">
      <alignment horizontal="justify" wrapText="1"/>
    </xf>
    <xf numFmtId="165" fontId="12" fillId="0" borderId="0" xfId="0" applyFont="1" applyAlignment="1">
      <alignment horizontal="center"/>
    </xf>
    <xf numFmtId="167" fontId="12" fillId="0" borderId="0" xfId="1" applyNumberFormat="1" applyFont="1" applyFill="1" applyAlignment="1">
      <alignment horizontal="center"/>
    </xf>
    <xf numFmtId="173" fontId="12" fillId="0" borderId="0" xfId="8" applyNumberFormat="1" applyFont="1" applyAlignment="1">
      <alignment horizontal="center"/>
    </xf>
    <xf numFmtId="165" fontId="12" fillId="4" borderId="0" xfId="0" applyFont="1" applyFill="1" applyAlignment="1">
      <alignment horizontal="left"/>
    </xf>
    <xf numFmtId="165" fontId="12" fillId="0" borderId="0" xfId="0" applyFont="1" applyFill="1"/>
    <xf numFmtId="0" fontId="12" fillId="0" borderId="0" xfId="0" applyNumberFormat="1" applyFont="1" applyAlignment="1">
      <alignment horizontal="left"/>
    </xf>
  </cellXfs>
  <cellStyles count="27">
    <cellStyle name="KPT04" xfId="6" xr:uid="{00000000-0005-0000-0000-000000000000}"/>
    <cellStyle name="KPT04 2" xfId="7" xr:uid="{00000000-0005-0000-0000-000001000000}"/>
    <cellStyle name="Millares" xfId="1" builtinId="3"/>
    <cellStyle name="Millares [0]" xfId="2" builtinId="6"/>
    <cellStyle name="Millares [0] 2" xfId="13" xr:uid="{00000000-0005-0000-0000-000004000000}"/>
    <cellStyle name="Millares 2" xfId="4" xr:uid="{00000000-0005-0000-0000-000005000000}"/>
    <cellStyle name="Millares 2 2" xfId="8" xr:uid="{00000000-0005-0000-0000-000006000000}"/>
    <cellStyle name="Millares 2 2 2" xfId="10" xr:uid="{00000000-0005-0000-0000-000007000000}"/>
    <cellStyle name="Millares 2 2 2 2" xfId="18" xr:uid="{00000000-0005-0000-0000-000008000000}"/>
    <cellStyle name="Millares 2 2 3 2" xfId="19" xr:uid="{00000000-0005-0000-0000-000009000000}"/>
    <cellStyle name="Millares 2 4" xfId="12" xr:uid="{00000000-0005-0000-0000-00000A000000}"/>
    <cellStyle name="Moneda [0]" xfId="3" builtinId="7"/>
    <cellStyle name="Moneda 3" xfId="9" xr:uid="{00000000-0005-0000-0000-00000C000000}"/>
    <cellStyle name="Normal" xfId="0" builtinId="0"/>
    <cellStyle name="Normal 10" xfId="15" xr:uid="{00000000-0005-0000-0000-00000E000000}"/>
    <cellStyle name="Normal 2" xfId="5" xr:uid="{00000000-0005-0000-0000-00000F000000}"/>
    <cellStyle name="Normal 2 3 2 2" xfId="20" xr:uid="{00000000-0005-0000-0000-000010000000}"/>
    <cellStyle name="Normal 2 3 3 4" xfId="16" xr:uid="{00000000-0005-0000-0000-000011000000}"/>
    <cellStyle name="Normal 3" xfId="17" xr:uid="{00000000-0005-0000-0000-000012000000}"/>
    <cellStyle name="Normal 4" xfId="21" xr:uid="{00000000-0005-0000-0000-000013000000}"/>
    <cellStyle name="Normal 5" xfId="23" xr:uid="{00000000-0005-0000-0000-000014000000}"/>
    <cellStyle name="Normal 6" xfId="24" xr:uid="{00000000-0005-0000-0000-000015000000}"/>
    <cellStyle name="Normal 7" xfId="25" xr:uid="{00000000-0005-0000-0000-000016000000}"/>
    <cellStyle name="Normal 8" xfId="26" xr:uid="{00000000-0005-0000-0000-000017000000}"/>
    <cellStyle name="Porcentaje" xfId="11" builtinId="5"/>
    <cellStyle name="Porcentaje 2 2" xfId="14" xr:uid="{00000000-0005-0000-0000-000019000000}"/>
    <cellStyle name="Porcentaje 2 2 2" xfId="22" xr:uid="{00000000-0005-0000-0000-00001A000000}"/>
  </cellStyles>
  <dxfs count="0"/>
  <tableStyles count="0" defaultTableStyle="TableStyleMedium2" defaultPivotStyle="PivotStyleLight16"/>
  <colors>
    <mruColors>
      <color rgb="FFBE1622"/>
      <color rgb="FFFFCD1C"/>
      <color rgb="FFF3B800"/>
      <color rgb="FF76B82A"/>
      <color rgb="FF0075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2-BE7B-4429-974A-2AFB80A731F9}"/>
              </c:ext>
            </c:extLst>
          </c:dPt>
          <c:dPt>
            <c:idx val="2"/>
            <c:invertIfNegative val="0"/>
            <c:bubble3D val="0"/>
            <c:spPr>
              <a:solidFill>
                <a:srgbClr val="76B82A"/>
              </a:solidFill>
              <a:ln>
                <a:noFill/>
              </a:ln>
              <a:effectLst/>
            </c:spPr>
            <c:extLst>
              <c:ext xmlns:c16="http://schemas.microsoft.com/office/drawing/2014/chart" uri="{C3380CC4-5D6E-409C-BE32-E72D297353CC}">
                <c16:uniqueId val="{00000003-BE7B-4429-974A-2AFB80A731F9}"/>
              </c:ext>
            </c:extLst>
          </c:dPt>
          <c:dPt>
            <c:idx val="4"/>
            <c:invertIfNegative val="0"/>
            <c:bubble3D val="0"/>
            <c:spPr>
              <a:solidFill>
                <a:srgbClr val="FFCD1C"/>
              </a:solidFill>
              <a:ln>
                <a:noFill/>
              </a:ln>
              <a:effectLst/>
            </c:spPr>
            <c:extLst>
              <c:ext xmlns:c16="http://schemas.microsoft.com/office/drawing/2014/chart" uri="{C3380CC4-5D6E-409C-BE32-E72D297353CC}">
                <c16:uniqueId val="{00000005-BE7B-4429-974A-2AFB80A731F9}"/>
              </c:ext>
            </c:extLst>
          </c:dPt>
          <c:dPt>
            <c:idx val="6"/>
            <c:invertIfNegative val="0"/>
            <c:bubble3D val="0"/>
            <c:spPr>
              <a:solidFill>
                <a:srgbClr val="FFCD1C"/>
              </a:solidFill>
              <a:ln>
                <a:noFill/>
              </a:ln>
              <a:effectLst/>
            </c:spPr>
            <c:extLst>
              <c:ext xmlns:c16="http://schemas.microsoft.com/office/drawing/2014/chart" uri="{C3380CC4-5D6E-409C-BE32-E72D297353CC}">
                <c16:uniqueId val="{00000007-BE7B-4429-974A-2AFB80A731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UNIDADES'!$O$2:$V$2</c:f>
              <c:strCache>
                <c:ptCount val="8"/>
                <c:pt idx="0">
                  <c:v> APROPIACIÓN DEFINITIVA </c:v>
                </c:pt>
                <c:pt idx="1">
                  <c:v> % AP </c:v>
                </c:pt>
                <c:pt idx="2">
                  <c:v> DISPONIBILIDADES </c:v>
                </c:pt>
                <c:pt idx="3">
                  <c:v> % CD </c:v>
                </c:pt>
                <c:pt idx="4">
                  <c:v> COMPROMISOS </c:v>
                </c:pt>
                <c:pt idx="5">
                  <c:v> % RP </c:v>
                </c:pt>
                <c:pt idx="6">
                  <c:v> OBLIGACIONES  </c:v>
                </c:pt>
                <c:pt idx="7">
                  <c:v> % OBLIGADO </c:v>
                </c:pt>
              </c:strCache>
            </c:strRef>
          </c:cat>
          <c:val>
            <c:numRef>
              <c:f>'CONSOLIDADO UNIDADES'!$O$3:$V$3</c:f>
              <c:numCache>
                <c:formatCode>0%</c:formatCode>
                <c:ptCount val="8"/>
                <c:pt idx="0" formatCode="_-* #,##0_-;\-* #,##0_-;_-* &quot;-&quot;??_-;_-@_-">
                  <c:v>475410619011.22998</c:v>
                </c:pt>
                <c:pt idx="1">
                  <c:v>1</c:v>
                </c:pt>
                <c:pt idx="2" formatCode="_-* #,##0_-;\-* #,##0_-;_-* &quot;-&quot;??_-;_-@_-">
                  <c:v>373223139523.88</c:v>
                </c:pt>
                <c:pt idx="3" formatCode="0.00%">
                  <c:v>0.78505427644867953</c:v>
                </c:pt>
                <c:pt idx="4" formatCode="_-* #,##0_-;\-* #,##0_-;_-* &quot;-&quot;??_-;_-@_-">
                  <c:v>330363360985.34998</c:v>
                </c:pt>
                <c:pt idx="5" formatCode="0.00%">
                  <c:v>0.69490109764995855</c:v>
                </c:pt>
                <c:pt idx="6" formatCode="_-* #,##0_-;\-* #,##0_-;_-* &quot;-&quot;??_-;_-@_-">
                  <c:v>294612002646.09003</c:v>
                </c:pt>
                <c:pt idx="7" formatCode="0.00%">
                  <c:v>0.61970008843898128</c:v>
                </c:pt>
              </c:numCache>
            </c:numRef>
          </c:val>
          <c:extLst>
            <c:ext xmlns:c16="http://schemas.microsoft.com/office/drawing/2014/chart" uri="{C3380CC4-5D6E-409C-BE32-E72D297353CC}">
              <c16:uniqueId val="{00000000-BE7B-4429-974A-2AFB80A731F9}"/>
            </c:ext>
          </c:extLst>
        </c:ser>
        <c:dLbls>
          <c:dLblPos val="outEnd"/>
          <c:showLegendKey val="0"/>
          <c:showVal val="1"/>
          <c:showCatName val="0"/>
          <c:showSerName val="0"/>
          <c:showPercent val="0"/>
          <c:showBubbleSize val="0"/>
        </c:dLbls>
        <c:gapWidth val="219"/>
        <c:overlap val="-27"/>
        <c:axId val="314219448"/>
        <c:axId val="312250504"/>
      </c:barChart>
      <c:catAx>
        <c:axId val="314219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2250504"/>
        <c:crosses val="autoZero"/>
        <c:auto val="1"/>
        <c:lblAlgn val="ctr"/>
        <c:lblOffset val="100"/>
        <c:noMultiLvlLbl val="0"/>
      </c:catAx>
      <c:valAx>
        <c:axId val="312250504"/>
        <c:scaling>
          <c:orientation val="minMax"/>
        </c:scaling>
        <c:delete val="1"/>
        <c:axPos val="l"/>
        <c:numFmt formatCode="_-* #,##0_-;\-* #,##0_-;_-* &quot;-&quot;??_-;_-@_-" sourceLinked="1"/>
        <c:majorTickMark val="out"/>
        <c:minorTickMark val="none"/>
        <c:tickLblPos val="nextTo"/>
        <c:crossAx val="314219448"/>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A-5978-4BC4-ADB6-B8FA13980618}"/>
              </c:ext>
            </c:extLst>
          </c:dPt>
          <c:dPt>
            <c:idx val="2"/>
            <c:invertIfNegative val="0"/>
            <c:bubble3D val="0"/>
            <c:spPr>
              <a:solidFill>
                <a:srgbClr val="76B82A"/>
              </a:solidFill>
              <a:ln>
                <a:noFill/>
              </a:ln>
              <a:effectLst/>
            </c:spPr>
            <c:extLst>
              <c:ext xmlns:c16="http://schemas.microsoft.com/office/drawing/2014/chart" uri="{C3380CC4-5D6E-409C-BE32-E72D297353CC}">
                <c16:uniqueId val="{00000002-5978-4BC4-ADB6-B8FA13980618}"/>
              </c:ext>
            </c:extLst>
          </c:dPt>
          <c:dPt>
            <c:idx val="4"/>
            <c:invertIfNegative val="0"/>
            <c:bubble3D val="0"/>
            <c:spPr>
              <a:solidFill>
                <a:srgbClr val="FFCD1C"/>
              </a:solidFill>
              <a:ln>
                <a:noFill/>
              </a:ln>
              <a:effectLst/>
            </c:spPr>
            <c:extLst>
              <c:ext xmlns:c16="http://schemas.microsoft.com/office/drawing/2014/chart" uri="{C3380CC4-5D6E-409C-BE32-E72D297353CC}">
                <c16:uniqueId val="{00000005-5978-4BC4-ADB6-B8FA13980618}"/>
              </c:ext>
            </c:extLst>
          </c:dPt>
          <c:dPt>
            <c:idx val="6"/>
            <c:invertIfNegative val="0"/>
            <c:bubble3D val="0"/>
            <c:spPr>
              <a:solidFill>
                <a:srgbClr val="F3B800"/>
              </a:solidFill>
              <a:ln>
                <a:noFill/>
              </a:ln>
              <a:effectLst/>
            </c:spPr>
            <c:extLst>
              <c:ext xmlns:c16="http://schemas.microsoft.com/office/drawing/2014/chart" uri="{C3380CC4-5D6E-409C-BE32-E72D297353CC}">
                <c16:uniqueId val="{00000006-5978-4BC4-ADB6-B8FA139806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UNIDADES'!$O$24:$V$24</c:f>
              <c:strCache>
                <c:ptCount val="8"/>
                <c:pt idx="0">
                  <c:v> APROPIACIÓN DEFINITIVA </c:v>
                </c:pt>
                <c:pt idx="1">
                  <c:v> % AP </c:v>
                </c:pt>
                <c:pt idx="2">
                  <c:v> DISPONIBILIDADES </c:v>
                </c:pt>
                <c:pt idx="3">
                  <c:v> % CD </c:v>
                </c:pt>
                <c:pt idx="4">
                  <c:v> COMPROMISOS </c:v>
                </c:pt>
                <c:pt idx="5">
                  <c:v> % RP </c:v>
                </c:pt>
                <c:pt idx="6">
                  <c:v> OBLIGACIONES  </c:v>
                </c:pt>
                <c:pt idx="7">
                  <c:v> % OBLIGADO </c:v>
                </c:pt>
              </c:strCache>
            </c:strRef>
          </c:cat>
          <c:val>
            <c:numRef>
              <c:f>'CONSOLIDADO UNIDADES'!$O$25:$V$25</c:f>
              <c:numCache>
                <c:formatCode>0%</c:formatCode>
                <c:ptCount val="8"/>
                <c:pt idx="0" formatCode="_-* #,##0_-;\-* #,##0_-;_-* &quot;-&quot;??_-;_-@_-">
                  <c:v>19366177408.789997</c:v>
                </c:pt>
                <c:pt idx="1">
                  <c:v>1</c:v>
                </c:pt>
                <c:pt idx="2" formatCode="_-* #,##0_-;\-* #,##0_-;_-* &quot;-&quot;??_-;_-@_-">
                  <c:v>17205738398.209999</c:v>
                </c:pt>
                <c:pt idx="3" formatCode="0.00%">
                  <c:v>0.8884426717272863</c:v>
                </c:pt>
                <c:pt idx="4" formatCode="_-* #,##0_-;\-* #,##0_-;_-* &quot;-&quot;??_-;_-@_-">
                  <c:v>13248496032.15</c:v>
                </c:pt>
                <c:pt idx="5" formatCode="0.00%">
                  <c:v>0.68410485727228332</c:v>
                </c:pt>
                <c:pt idx="6" formatCode="_-* #,##0_-;\-* #,##0_-;_-* &quot;-&quot;??_-;_-@_-">
                  <c:v>9339745158</c:v>
                </c:pt>
                <c:pt idx="7" formatCode="0.00%">
                  <c:v>0.48227096968350808</c:v>
                </c:pt>
              </c:numCache>
            </c:numRef>
          </c:val>
          <c:extLst>
            <c:ext xmlns:c16="http://schemas.microsoft.com/office/drawing/2014/chart" uri="{C3380CC4-5D6E-409C-BE32-E72D297353CC}">
              <c16:uniqueId val="{00000000-5978-4BC4-ADB6-B8FA13980618}"/>
            </c:ext>
          </c:extLst>
        </c:ser>
        <c:dLbls>
          <c:showLegendKey val="0"/>
          <c:showVal val="0"/>
          <c:showCatName val="0"/>
          <c:showSerName val="0"/>
          <c:showPercent val="0"/>
          <c:showBubbleSize val="0"/>
        </c:dLbls>
        <c:gapWidth val="219"/>
        <c:overlap val="-27"/>
        <c:axId val="442546672"/>
        <c:axId val="442540440"/>
      </c:barChart>
      <c:catAx>
        <c:axId val="44254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2540440"/>
        <c:crosses val="autoZero"/>
        <c:auto val="1"/>
        <c:lblAlgn val="ctr"/>
        <c:lblOffset val="100"/>
        <c:noMultiLvlLbl val="0"/>
      </c:catAx>
      <c:valAx>
        <c:axId val="442540440"/>
        <c:scaling>
          <c:orientation val="minMax"/>
        </c:scaling>
        <c:delete val="1"/>
        <c:axPos val="l"/>
        <c:numFmt formatCode="_-* #,##0_-;\-* #,##0_-;_-* &quot;-&quot;??_-;_-@_-" sourceLinked="1"/>
        <c:majorTickMark val="none"/>
        <c:minorTickMark val="none"/>
        <c:tickLblPos val="nextTo"/>
        <c:crossAx val="442546672"/>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4-EF36-4628-91A4-3D516407CDE9}"/>
              </c:ext>
            </c:extLst>
          </c:dPt>
          <c:dPt>
            <c:idx val="2"/>
            <c:invertIfNegative val="0"/>
            <c:bubble3D val="0"/>
            <c:spPr>
              <a:solidFill>
                <a:srgbClr val="76B82A"/>
              </a:solidFill>
              <a:ln>
                <a:noFill/>
              </a:ln>
              <a:effectLst/>
            </c:spPr>
            <c:extLst>
              <c:ext xmlns:c16="http://schemas.microsoft.com/office/drawing/2014/chart" uri="{C3380CC4-5D6E-409C-BE32-E72D297353CC}">
                <c16:uniqueId val="{00000006-EF36-4628-91A4-3D516407CDE9}"/>
              </c:ext>
            </c:extLst>
          </c:dPt>
          <c:dPt>
            <c:idx val="4"/>
            <c:invertIfNegative val="0"/>
            <c:bubble3D val="0"/>
            <c:spPr>
              <a:solidFill>
                <a:srgbClr val="FFCD1C"/>
              </a:solidFill>
              <a:ln>
                <a:noFill/>
              </a:ln>
              <a:effectLst/>
            </c:spPr>
            <c:extLst>
              <c:ext xmlns:c16="http://schemas.microsoft.com/office/drawing/2014/chart" uri="{C3380CC4-5D6E-409C-BE32-E72D297353CC}">
                <c16:uniqueId val="{0000000A-EF36-4628-91A4-3D516407CDE9}"/>
              </c:ext>
            </c:extLst>
          </c:dPt>
          <c:dPt>
            <c:idx val="6"/>
            <c:invertIfNegative val="0"/>
            <c:bubble3D val="0"/>
            <c:spPr>
              <a:solidFill>
                <a:srgbClr val="FFCD1C"/>
              </a:solidFill>
              <a:ln>
                <a:noFill/>
              </a:ln>
              <a:effectLst/>
            </c:spPr>
            <c:extLst>
              <c:ext xmlns:c16="http://schemas.microsoft.com/office/drawing/2014/chart" uri="{C3380CC4-5D6E-409C-BE32-E72D297353CC}">
                <c16:uniqueId val="{0000000E-EF36-4628-91A4-3D516407CD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UNIDADES'!$O$54:$V$54</c:f>
              <c:strCache>
                <c:ptCount val="8"/>
                <c:pt idx="0">
                  <c:v> APROPIACIÓN DEFINITIVA </c:v>
                </c:pt>
                <c:pt idx="1">
                  <c:v> % AP </c:v>
                </c:pt>
                <c:pt idx="2">
                  <c:v> DISPONIBILIDADES </c:v>
                </c:pt>
                <c:pt idx="3">
                  <c:v> % CD </c:v>
                </c:pt>
                <c:pt idx="4">
                  <c:v> COMPROMISOS </c:v>
                </c:pt>
                <c:pt idx="5">
                  <c:v> % RP </c:v>
                </c:pt>
                <c:pt idx="6">
                  <c:v> OBLIGACIONES  </c:v>
                </c:pt>
                <c:pt idx="7">
                  <c:v> % OBLIGADO </c:v>
                </c:pt>
              </c:strCache>
            </c:strRef>
          </c:cat>
          <c:val>
            <c:numRef>
              <c:f>'CONSOLIDADO UNIDADES'!$O$55:$V$55</c:f>
              <c:numCache>
                <c:formatCode>0%</c:formatCode>
                <c:ptCount val="8"/>
                <c:pt idx="0" formatCode="_-* #,##0_-;\-* #,##0_-;_-* &quot;-&quot;??_-;_-@_-">
                  <c:v>494776796420.01996</c:v>
                </c:pt>
                <c:pt idx="1">
                  <c:v>1</c:v>
                </c:pt>
                <c:pt idx="2" formatCode="_-* #,##0_-;\-* #,##0_-;_-* &quot;-&quot;??_-;_-@_-">
                  <c:v>390428877922.09003</c:v>
                </c:pt>
                <c:pt idx="3" formatCode="0.00%">
                  <c:v>0.78910102645689117</c:v>
                </c:pt>
                <c:pt idx="4" formatCode="_-* #,##0_-;\-* #,##0_-;_-* &quot;-&quot;??_-;_-@_-">
                  <c:v>343611857017.5</c:v>
                </c:pt>
                <c:pt idx="5" formatCode="0.00%">
                  <c:v>0.69447851941263061</c:v>
                </c:pt>
                <c:pt idx="6" formatCode="_-* #,##0_-;\-* #,##0_-;_-* &quot;-&quot;??_-;_-@_-">
                  <c:v>303951747804.09003</c:v>
                </c:pt>
                <c:pt idx="7" formatCode="0.00%">
                  <c:v>0.61432094229831868</c:v>
                </c:pt>
              </c:numCache>
            </c:numRef>
          </c:val>
          <c:extLst>
            <c:ext xmlns:c16="http://schemas.microsoft.com/office/drawing/2014/chart" uri="{C3380CC4-5D6E-409C-BE32-E72D297353CC}">
              <c16:uniqueId val="{00000000-EF36-4628-91A4-3D516407CDE9}"/>
            </c:ext>
          </c:extLst>
        </c:ser>
        <c:dLbls>
          <c:dLblPos val="outEnd"/>
          <c:showLegendKey val="0"/>
          <c:showVal val="1"/>
          <c:showCatName val="0"/>
          <c:showSerName val="0"/>
          <c:showPercent val="0"/>
          <c:showBubbleSize val="0"/>
        </c:dLbls>
        <c:gapWidth val="219"/>
        <c:overlap val="-27"/>
        <c:axId val="437049664"/>
        <c:axId val="438885120"/>
      </c:barChart>
      <c:catAx>
        <c:axId val="43704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8885120"/>
        <c:crosses val="autoZero"/>
        <c:auto val="1"/>
        <c:lblAlgn val="ctr"/>
        <c:lblOffset val="100"/>
        <c:noMultiLvlLbl val="0"/>
      </c:catAx>
      <c:valAx>
        <c:axId val="438885120"/>
        <c:scaling>
          <c:orientation val="minMax"/>
        </c:scaling>
        <c:delete val="1"/>
        <c:axPos val="l"/>
        <c:numFmt formatCode="_-* #,##0_-;\-* #,##0_-;_-* &quot;-&quot;??_-;_-@_-" sourceLinked="1"/>
        <c:majorTickMark val="none"/>
        <c:minorTickMark val="none"/>
        <c:tickLblPos val="nextTo"/>
        <c:crossAx val="437049664"/>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226218</xdr:colOff>
      <xdr:row>0</xdr:row>
      <xdr:rowOff>35719</xdr:rowOff>
    </xdr:from>
    <xdr:ext cx="762000" cy="734785"/>
    <xdr:pic>
      <xdr:nvPicPr>
        <xdr:cNvPr id="2" name="Imagen 1" descr="C:\Users\AUXPLANEACION03\Desktop\Gobernacion_del_quindio.jpg">
          <a:extLst>
            <a:ext uri="{FF2B5EF4-FFF2-40B4-BE49-F238E27FC236}">
              <a16:creationId xmlns:a16="http://schemas.microsoft.com/office/drawing/2014/main" id="{2EB70EE7-A5D8-456B-BB37-CE78DCB3E6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8" y="35719"/>
          <a:ext cx="762000" cy="73478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619125</xdr:colOff>
      <xdr:row>5</xdr:row>
      <xdr:rowOff>86913</xdr:rowOff>
    </xdr:from>
    <xdr:to>
      <xdr:col>22</xdr:col>
      <xdr:colOff>154781</xdr:colOff>
      <xdr:row>17</xdr:row>
      <xdr:rowOff>226218</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809623</xdr:colOff>
      <xdr:row>26</xdr:row>
      <xdr:rowOff>182165</xdr:rowOff>
    </xdr:from>
    <xdr:to>
      <xdr:col>22</xdr:col>
      <xdr:colOff>250030</xdr:colOff>
      <xdr:row>45</xdr:row>
      <xdr:rowOff>130968</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940592</xdr:colOff>
      <xdr:row>57</xdr:row>
      <xdr:rowOff>63103</xdr:rowOff>
    </xdr:from>
    <xdr:to>
      <xdr:col>22</xdr:col>
      <xdr:colOff>119061</xdr:colOff>
      <xdr:row>76</xdr:row>
      <xdr:rowOff>154781</xdr:rowOff>
    </xdr:to>
    <xdr:graphicFrame macro="">
      <xdr:nvGraphicFramePr>
        <xdr:cNvPr id="8" name="Gráfico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gobernación quindio Quindío" id="{D7F2572F-A98F-4441-9B83-4C1D01A868C4}" userId="1c0fbb59ec2923d2" providerId="Windows Live"/>
  <person displayName="Daniela Lopez Villamil" id="{E17AFE2A-F346-4F2C-8C21-ED30AB3EDDD6}" userId="5459be173baf090c"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8" dT="2024-11-12T22:38:26.77" personId="{D7F2572F-A98F-4441-9B83-4C1D01A868C4}" id="{F8AB1063-CD82-4188-9F34-0B7E7D1EB940}">
    <text>Adición según decreto 1275 6/11/2024</text>
  </threadedComment>
  <threadedComment ref="AO492" dT="2024-12-06T02:58:58.36" personId="{E17AFE2A-F346-4F2C-8C21-ED30AB3EDDD6}" id="{80D67E61-5E96-4D1C-91CB-884C50C5F6E6}">
    <text xml:space="preserve">107.952.442
</text>
  </threadedComment>
  <threadedComment ref="AO494" dT="2024-12-06T02:57:48.51" personId="{E17AFE2A-F346-4F2C-8C21-ED30AB3EDDD6}" id="{5E39067E-5112-414C-85BB-F436A0FD53D7}">
    <text xml:space="preserve">103.750.000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C887"/>
  <sheetViews>
    <sheetView showGridLines="0" topLeftCell="W487" zoomScale="40" zoomScaleNormal="40" workbookViewId="0">
      <selection activeCell="AU498" sqref="AU498"/>
    </sheetView>
  </sheetViews>
  <sheetFormatPr baseColWidth="10" defaultColWidth="9.140625" defaultRowHeight="15" customHeight="1" x14ac:dyDescent="0.2"/>
  <cols>
    <col min="1" max="1" width="11.42578125" style="568" customWidth="1"/>
    <col min="2" max="2" width="18" style="569" customWidth="1"/>
    <col min="3" max="3" width="15.28515625" style="569" customWidth="1"/>
    <col min="4" max="4" width="23.28515625" style="569" customWidth="1"/>
    <col min="5" max="5" width="13.28515625" style="576" customWidth="1"/>
    <col min="6" max="6" width="28.85546875" style="570" customWidth="1"/>
    <col min="7" max="7" width="11.5703125" style="291" customWidth="1"/>
    <col min="8" max="8" width="17.85546875" style="570" customWidth="1"/>
    <col min="9" max="9" width="14" style="569" customWidth="1"/>
    <col min="10" max="10" width="26.5703125" style="569" customWidth="1"/>
    <col min="11" max="11" width="17.85546875" style="106" customWidth="1"/>
    <col min="12" max="12" width="20.42578125" style="570" customWidth="1"/>
    <col min="13" max="13" width="19.5703125" style="291" customWidth="1"/>
    <col min="14" max="14" width="17.28515625" style="569" customWidth="1"/>
    <col min="15" max="15" width="17.85546875" style="571" customWidth="1"/>
    <col min="16" max="17" width="17.85546875" style="291" customWidth="1"/>
    <col min="18" max="18" width="17.5703125" style="572" customWidth="1"/>
    <col min="19" max="19" width="48.5703125" style="569" customWidth="1"/>
    <col min="20" max="21" width="34" style="100" customWidth="1"/>
    <col min="22" max="31" width="21.140625" style="100" customWidth="1"/>
    <col min="32" max="34" width="21.140625" style="522" customWidth="1"/>
    <col min="35" max="37" width="21.140625" style="100" customWidth="1"/>
    <col min="38" max="40" width="21.140625" style="573" customWidth="1"/>
    <col min="41" max="46" width="21.140625" style="100" customWidth="1"/>
    <col min="47" max="47" width="40.28515625" style="574" customWidth="1"/>
    <col min="48" max="48" width="37.5703125" style="574" customWidth="1"/>
    <col min="49" max="49" width="40" style="574" customWidth="1"/>
    <col min="50" max="50" width="26" style="459" customWidth="1"/>
    <col min="51" max="51" width="20.5703125" style="104" bestFit="1" customWidth="1"/>
    <col min="52" max="53" width="19.5703125" style="100" bestFit="1" customWidth="1"/>
    <col min="54" max="55" width="19.42578125" style="100" bestFit="1" customWidth="1"/>
    <col min="56" max="16384" width="9.140625" style="100"/>
  </cols>
  <sheetData>
    <row r="1" spans="1:129" ht="18" customHeight="1" x14ac:dyDescent="0.2">
      <c r="A1" s="352"/>
      <c r="B1" s="352"/>
      <c r="C1" s="251" t="s">
        <v>1184</v>
      </c>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353"/>
      <c r="AV1" s="353"/>
      <c r="AW1" s="354" t="s">
        <v>0</v>
      </c>
      <c r="AX1" s="1" t="s">
        <v>1187</v>
      </c>
      <c r="AY1" s="355"/>
    </row>
    <row r="2" spans="1:129" s="356" customFormat="1" ht="18" customHeight="1" x14ac:dyDescent="0.2">
      <c r="A2" s="352"/>
      <c r="B2" s="352"/>
      <c r="C2" s="251" t="s">
        <v>1185</v>
      </c>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353"/>
      <c r="AV2" s="353"/>
      <c r="AW2" s="354" t="s">
        <v>1</v>
      </c>
      <c r="AX2" s="8">
        <v>5</v>
      </c>
      <c r="AY2" s="355"/>
    </row>
    <row r="3" spans="1:129" s="356" customFormat="1" ht="18" customHeight="1" x14ac:dyDescent="0.2">
      <c r="A3" s="355"/>
      <c r="B3" s="352"/>
      <c r="C3" s="251" t="s">
        <v>1186</v>
      </c>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353"/>
      <c r="AV3" s="353"/>
      <c r="AW3" s="354" t="s">
        <v>2</v>
      </c>
      <c r="AX3" s="9">
        <v>45566</v>
      </c>
      <c r="AY3" s="355"/>
    </row>
    <row r="4" spans="1:129" s="356" customFormat="1" ht="18" customHeight="1" x14ac:dyDescent="0.2">
      <c r="A4" s="357"/>
      <c r="B4" s="357"/>
      <c r="C4" s="252" t="s">
        <v>1253</v>
      </c>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353"/>
      <c r="AV4" s="353"/>
      <c r="AW4" s="354" t="s">
        <v>3</v>
      </c>
      <c r="AX4" s="358" t="s">
        <v>4</v>
      </c>
      <c r="AY4" s="355"/>
    </row>
    <row r="5" spans="1:129" s="368" customFormat="1" ht="27" customHeight="1" x14ac:dyDescent="0.25">
      <c r="A5" s="359" t="s">
        <v>1188</v>
      </c>
      <c r="B5" s="360"/>
      <c r="C5" s="253" t="s">
        <v>1189</v>
      </c>
      <c r="D5" s="300"/>
      <c r="E5" s="300"/>
      <c r="F5" s="301"/>
      <c r="G5" s="253" t="s">
        <v>1193</v>
      </c>
      <c r="H5" s="301"/>
      <c r="I5" s="253" t="s">
        <v>6</v>
      </c>
      <c r="J5" s="301"/>
      <c r="K5" s="253" t="s">
        <v>1194</v>
      </c>
      <c r="L5" s="301"/>
      <c r="M5" s="253" t="s">
        <v>1195</v>
      </c>
      <c r="N5" s="301"/>
      <c r="O5" s="253" t="s">
        <v>1196</v>
      </c>
      <c r="P5" s="300"/>
      <c r="Q5" s="301"/>
      <c r="R5" s="361" t="s">
        <v>7</v>
      </c>
      <c r="S5" s="361" t="s">
        <v>8</v>
      </c>
      <c r="T5" s="359" t="s">
        <v>9</v>
      </c>
      <c r="U5" s="362"/>
      <c r="V5" s="360"/>
      <c r="W5" s="359" t="s">
        <v>10</v>
      </c>
      <c r="X5" s="362"/>
      <c r="Y5" s="360"/>
      <c r="Z5" s="359" t="s">
        <v>11</v>
      </c>
      <c r="AA5" s="362"/>
      <c r="AB5" s="360"/>
      <c r="AC5" s="359" t="s">
        <v>12</v>
      </c>
      <c r="AD5" s="362"/>
      <c r="AE5" s="360"/>
      <c r="AF5" s="359" t="s">
        <v>13</v>
      </c>
      <c r="AG5" s="362"/>
      <c r="AH5" s="360"/>
      <c r="AI5" s="359" t="s">
        <v>14</v>
      </c>
      <c r="AJ5" s="362"/>
      <c r="AK5" s="360"/>
      <c r="AL5" s="359" t="s">
        <v>15</v>
      </c>
      <c r="AM5" s="362"/>
      <c r="AN5" s="360"/>
      <c r="AO5" s="359" t="s">
        <v>16</v>
      </c>
      <c r="AP5" s="362"/>
      <c r="AQ5" s="360"/>
      <c r="AR5" s="359" t="s">
        <v>17</v>
      </c>
      <c r="AS5" s="362"/>
      <c r="AT5" s="360"/>
      <c r="AU5" s="363" t="s">
        <v>1203</v>
      </c>
      <c r="AV5" s="364"/>
      <c r="AW5" s="360"/>
      <c r="AX5" s="365" t="s">
        <v>18</v>
      </c>
      <c r="AY5" s="366"/>
      <c r="AZ5" s="367"/>
      <c r="BA5" s="367"/>
      <c r="BB5" s="367"/>
      <c r="BC5" s="367"/>
      <c r="BD5" s="367"/>
      <c r="BE5" s="367"/>
      <c r="BF5" s="367"/>
      <c r="BG5" s="367"/>
      <c r="BH5" s="367"/>
      <c r="BI5" s="367"/>
      <c r="BJ5" s="367"/>
      <c r="BK5" s="367"/>
      <c r="BL5" s="367"/>
      <c r="BM5" s="367"/>
      <c r="BN5" s="367"/>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row>
    <row r="6" spans="1:129" s="368" customFormat="1" ht="27.75" customHeight="1" x14ac:dyDescent="0.25">
      <c r="A6" s="369"/>
      <c r="B6" s="370"/>
      <c r="C6" s="253" t="s">
        <v>1190</v>
      </c>
      <c r="D6" s="301"/>
      <c r="E6" s="253" t="s">
        <v>1191</v>
      </c>
      <c r="F6" s="301"/>
      <c r="G6" s="254" t="s">
        <v>5</v>
      </c>
      <c r="H6" s="254" t="s">
        <v>1192</v>
      </c>
      <c r="I6" s="254" t="s">
        <v>5</v>
      </c>
      <c r="J6" s="254" t="s">
        <v>1192</v>
      </c>
      <c r="K6" s="254" t="s">
        <v>5</v>
      </c>
      <c r="L6" s="254" t="s">
        <v>1192</v>
      </c>
      <c r="M6" s="254" t="s">
        <v>5</v>
      </c>
      <c r="N6" s="254" t="s">
        <v>1192</v>
      </c>
      <c r="O6" s="254" t="s">
        <v>1199</v>
      </c>
      <c r="P6" s="254" t="s">
        <v>1197</v>
      </c>
      <c r="Q6" s="254" t="s">
        <v>1198</v>
      </c>
      <c r="R6" s="371"/>
      <c r="S6" s="371"/>
      <c r="T6" s="369"/>
      <c r="U6" s="372"/>
      <c r="V6" s="370"/>
      <c r="W6" s="369"/>
      <c r="X6" s="372"/>
      <c r="Y6" s="370"/>
      <c r="Z6" s="369"/>
      <c r="AA6" s="372"/>
      <c r="AB6" s="370"/>
      <c r="AC6" s="369"/>
      <c r="AD6" s="372"/>
      <c r="AE6" s="370"/>
      <c r="AF6" s="369"/>
      <c r="AG6" s="372"/>
      <c r="AH6" s="370"/>
      <c r="AI6" s="369"/>
      <c r="AJ6" s="372"/>
      <c r="AK6" s="370"/>
      <c r="AL6" s="369"/>
      <c r="AM6" s="372"/>
      <c r="AN6" s="370"/>
      <c r="AO6" s="369"/>
      <c r="AP6" s="372"/>
      <c r="AQ6" s="370"/>
      <c r="AR6" s="369"/>
      <c r="AS6" s="372"/>
      <c r="AT6" s="370"/>
      <c r="AU6" s="369"/>
      <c r="AV6" s="372"/>
      <c r="AW6" s="370"/>
      <c r="AX6" s="365"/>
      <c r="AY6" s="366"/>
      <c r="AZ6" s="367"/>
      <c r="BA6" s="367"/>
      <c r="BB6" s="367"/>
      <c r="BC6" s="367"/>
      <c r="BD6" s="367"/>
      <c r="BE6" s="367"/>
      <c r="BF6" s="367"/>
      <c r="BG6" s="367"/>
      <c r="BH6" s="367"/>
      <c r="BI6" s="367"/>
      <c r="BJ6" s="367"/>
      <c r="BK6" s="367"/>
      <c r="BL6" s="367"/>
      <c r="BM6" s="367"/>
      <c r="BN6" s="367"/>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row>
    <row r="7" spans="1:129" s="368" customFormat="1" ht="37.5" customHeight="1" x14ac:dyDescent="0.25">
      <c r="A7" s="373" t="s">
        <v>5</v>
      </c>
      <c r="B7" s="373" t="s">
        <v>1192</v>
      </c>
      <c r="C7" s="373" t="s">
        <v>5</v>
      </c>
      <c r="D7" s="373" t="s">
        <v>1192</v>
      </c>
      <c r="E7" s="373" t="s">
        <v>5</v>
      </c>
      <c r="F7" s="373" t="s">
        <v>1192</v>
      </c>
      <c r="G7" s="255"/>
      <c r="H7" s="255"/>
      <c r="I7" s="255"/>
      <c r="J7" s="255"/>
      <c r="K7" s="255"/>
      <c r="L7" s="255"/>
      <c r="M7" s="255"/>
      <c r="N7" s="255"/>
      <c r="O7" s="255"/>
      <c r="P7" s="255"/>
      <c r="Q7" s="255"/>
      <c r="R7" s="374"/>
      <c r="S7" s="374"/>
      <c r="T7" s="375" t="s">
        <v>1200</v>
      </c>
      <c r="U7" s="375" t="s">
        <v>1201</v>
      </c>
      <c r="V7" s="375" t="s">
        <v>1202</v>
      </c>
      <c r="W7" s="375" t="s">
        <v>1200</v>
      </c>
      <c r="X7" s="375" t="s">
        <v>1201</v>
      </c>
      <c r="Y7" s="375" t="s">
        <v>1202</v>
      </c>
      <c r="Z7" s="375" t="s">
        <v>1200</v>
      </c>
      <c r="AA7" s="375" t="s">
        <v>1201</v>
      </c>
      <c r="AB7" s="375" t="s">
        <v>1202</v>
      </c>
      <c r="AC7" s="375" t="s">
        <v>1200</v>
      </c>
      <c r="AD7" s="375" t="s">
        <v>1201</v>
      </c>
      <c r="AE7" s="375" t="s">
        <v>1202</v>
      </c>
      <c r="AF7" s="375" t="s">
        <v>1200</v>
      </c>
      <c r="AG7" s="375" t="s">
        <v>1201</v>
      </c>
      <c r="AH7" s="375" t="s">
        <v>1202</v>
      </c>
      <c r="AI7" s="375" t="s">
        <v>1200</v>
      </c>
      <c r="AJ7" s="375" t="s">
        <v>1201</v>
      </c>
      <c r="AK7" s="375" t="s">
        <v>1202</v>
      </c>
      <c r="AL7" s="375" t="s">
        <v>1200</v>
      </c>
      <c r="AM7" s="375" t="s">
        <v>1201</v>
      </c>
      <c r="AN7" s="375" t="s">
        <v>1202</v>
      </c>
      <c r="AO7" s="375" t="s">
        <v>1200</v>
      </c>
      <c r="AP7" s="375" t="s">
        <v>1201</v>
      </c>
      <c r="AQ7" s="375" t="s">
        <v>1202</v>
      </c>
      <c r="AR7" s="375" t="s">
        <v>1200</v>
      </c>
      <c r="AS7" s="375" t="s">
        <v>1201</v>
      </c>
      <c r="AT7" s="375" t="s">
        <v>1202</v>
      </c>
      <c r="AU7" s="375" t="s">
        <v>1200</v>
      </c>
      <c r="AV7" s="375" t="s">
        <v>1201</v>
      </c>
      <c r="AW7" s="375" t="s">
        <v>1202</v>
      </c>
      <c r="AX7" s="365"/>
      <c r="AY7" s="366"/>
      <c r="AZ7" s="367"/>
      <c r="BA7" s="367"/>
      <c r="BB7" s="367"/>
      <c r="BC7" s="367"/>
      <c r="BD7" s="367"/>
      <c r="BE7" s="367"/>
      <c r="BF7" s="367"/>
      <c r="BG7" s="367"/>
      <c r="BH7" s="367"/>
      <c r="BI7" s="367"/>
      <c r="BJ7" s="367"/>
      <c r="BK7" s="367"/>
      <c r="BL7" s="367"/>
      <c r="BM7" s="367"/>
      <c r="BN7" s="367"/>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366"/>
      <c r="DS7" s="366"/>
      <c r="DT7" s="366"/>
      <c r="DU7" s="366"/>
      <c r="DV7" s="366"/>
      <c r="DW7" s="366"/>
      <c r="DX7" s="366"/>
      <c r="DY7" s="366"/>
    </row>
    <row r="8" spans="1:129" s="331" customFormat="1" ht="99.75" customHeight="1" x14ac:dyDescent="0.25">
      <c r="A8" s="262">
        <v>304</v>
      </c>
      <c r="B8" s="376" t="s">
        <v>19</v>
      </c>
      <c r="C8" s="257">
        <v>4</v>
      </c>
      <c r="D8" s="376" t="s">
        <v>20</v>
      </c>
      <c r="E8" s="257">
        <v>4</v>
      </c>
      <c r="F8" s="376" t="s">
        <v>21</v>
      </c>
      <c r="G8" s="257">
        <v>45</v>
      </c>
      <c r="H8" s="376" t="s">
        <v>22</v>
      </c>
      <c r="I8" s="257">
        <v>4599</v>
      </c>
      <c r="J8" s="376" t="s">
        <v>23</v>
      </c>
      <c r="K8" s="257">
        <v>4599023</v>
      </c>
      <c r="L8" s="376" t="s">
        <v>24</v>
      </c>
      <c r="M8" s="377">
        <v>459902300</v>
      </c>
      <c r="N8" s="326" t="s">
        <v>25</v>
      </c>
      <c r="O8" s="378" t="s">
        <v>26</v>
      </c>
      <c r="P8" s="256">
        <v>5</v>
      </c>
      <c r="Q8" s="379">
        <v>5</v>
      </c>
      <c r="R8" s="380">
        <v>2020003630006</v>
      </c>
      <c r="S8" s="376" t="s">
        <v>27</v>
      </c>
      <c r="T8" s="381"/>
      <c r="U8" s="381"/>
      <c r="V8" s="381"/>
      <c r="W8" s="381"/>
      <c r="X8" s="381"/>
      <c r="Y8" s="381"/>
      <c r="Z8" s="381"/>
      <c r="AA8" s="381"/>
      <c r="AB8" s="381"/>
      <c r="AC8" s="381"/>
      <c r="AD8" s="381"/>
      <c r="AE8" s="381"/>
      <c r="AF8" s="381"/>
      <c r="AG8" s="381"/>
      <c r="AH8" s="381"/>
      <c r="AI8" s="381"/>
      <c r="AJ8" s="381"/>
      <c r="AK8" s="381"/>
      <c r="AL8" s="381">
        <f>104040000-45790000</f>
        <v>58250000</v>
      </c>
      <c r="AM8" s="381">
        <v>58250000</v>
      </c>
      <c r="AN8" s="381">
        <v>58250000</v>
      </c>
      <c r="AO8" s="382"/>
      <c r="AP8" s="382"/>
      <c r="AQ8" s="382"/>
      <c r="AR8" s="381"/>
      <c r="AS8" s="381"/>
      <c r="AT8" s="381"/>
      <c r="AU8" s="381">
        <f t="shared" ref="AU8:AU60" si="0">SUM(T8,W8,Z8,AC8,AF8,AI8,AL8,AO8,AR8)</f>
        <v>58250000</v>
      </c>
      <c r="AV8" s="381">
        <f t="shared" ref="AV8:AV61" si="1">SUM(U8,X8,AA8,AD8,AG8,AJ8,AM8,AP8,AS8)</f>
        <v>58250000</v>
      </c>
      <c r="AW8" s="381">
        <f t="shared" ref="AW8:AW61" si="2">SUM(V8,Y8,AB8,AE8,AH8,AK8,AN8,AQ8,AT8)</f>
        <v>58250000</v>
      </c>
      <c r="AX8" s="383" t="s">
        <v>28</v>
      </c>
    </row>
    <row r="9" spans="1:129" s="332" customFormat="1" ht="99.75" customHeight="1" x14ac:dyDescent="0.25">
      <c r="A9" s="262">
        <v>304</v>
      </c>
      <c r="B9" s="325" t="s">
        <v>19</v>
      </c>
      <c r="C9" s="259"/>
      <c r="D9" s="325"/>
      <c r="E9" s="259">
        <v>4</v>
      </c>
      <c r="F9" s="325" t="s">
        <v>21</v>
      </c>
      <c r="G9" s="343" t="s">
        <v>29</v>
      </c>
      <c r="H9" s="384" t="s">
        <v>30</v>
      </c>
      <c r="I9" s="343" t="s">
        <v>31</v>
      </c>
      <c r="J9" s="385" t="s">
        <v>32</v>
      </c>
      <c r="K9" s="343" t="s">
        <v>33</v>
      </c>
      <c r="L9" s="386" t="s">
        <v>34</v>
      </c>
      <c r="M9" s="377">
        <v>459902300</v>
      </c>
      <c r="N9" s="326" t="s">
        <v>25</v>
      </c>
      <c r="O9" s="282" t="s">
        <v>26</v>
      </c>
      <c r="P9" s="279">
        <v>1</v>
      </c>
      <c r="Q9" s="274">
        <v>0.7</v>
      </c>
      <c r="R9" s="281">
        <v>2024003630006</v>
      </c>
      <c r="S9" s="325" t="s">
        <v>35</v>
      </c>
      <c r="T9" s="328"/>
      <c r="U9" s="328"/>
      <c r="V9" s="328"/>
      <c r="W9" s="328"/>
      <c r="X9" s="328"/>
      <c r="Y9" s="328"/>
      <c r="Z9" s="328"/>
      <c r="AA9" s="328"/>
      <c r="AB9" s="328"/>
      <c r="AC9" s="328"/>
      <c r="AD9" s="328"/>
      <c r="AE9" s="328"/>
      <c r="AF9" s="328"/>
      <c r="AG9" s="328"/>
      <c r="AH9" s="328"/>
      <c r="AI9" s="328"/>
      <c r="AJ9" s="328"/>
      <c r="AK9" s="328"/>
      <c r="AL9" s="328">
        <f>45790000+142310000</f>
        <v>188100000</v>
      </c>
      <c r="AM9" s="328">
        <v>188080001</v>
      </c>
      <c r="AN9" s="328">
        <v>98300000</v>
      </c>
      <c r="AO9" s="343"/>
      <c r="AP9" s="343"/>
      <c r="AQ9" s="343"/>
      <c r="AR9" s="328"/>
      <c r="AS9" s="328"/>
      <c r="AT9" s="328"/>
      <c r="AU9" s="328">
        <f t="shared" si="0"/>
        <v>188100000</v>
      </c>
      <c r="AV9" s="328">
        <f t="shared" si="1"/>
        <v>188080001</v>
      </c>
      <c r="AW9" s="328">
        <f t="shared" si="2"/>
        <v>98300000</v>
      </c>
      <c r="AX9" s="387" t="s">
        <v>28</v>
      </c>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row>
    <row r="10" spans="1:129" s="331" customFormat="1" ht="86.25" customHeight="1" x14ac:dyDescent="0.25">
      <c r="A10" s="262">
        <v>304</v>
      </c>
      <c r="B10" s="376" t="s">
        <v>19</v>
      </c>
      <c r="C10" s="257">
        <v>4</v>
      </c>
      <c r="D10" s="376" t="s">
        <v>36</v>
      </c>
      <c r="E10" s="257">
        <v>4</v>
      </c>
      <c r="F10" s="376" t="s">
        <v>21</v>
      </c>
      <c r="G10" s="257">
        <v>45</v>
      </c>
      <c r="H10" s="376" t="s">
        <v>22</v>
      </c>
      <c r="I10" s="257">
        <v>4599</v>
      </c>
      <c r="J10" s="376" t="s">
        <v>23</v>
      </c>
      <c r="K10" s="380">
        <v>4599002</v>
      </c>
      <c r="L10" s="376" t="s">
        <v>37</v>
      </c>
      <c r="M10" s="377">
        <v>459900200</v>
      </c>
      <c r="N10" s="388" t="s">
        <v>38</v>
      </c>
      <c r="O10" s="378" t="s">
        <v>26</v>
      </c>
      <c r="P10" s="256">
        <v>4</v>
      </c>
      <c r="Q10" s="389">
        <v>4</v>
      </c>
      <c r="R10" s="380">
        <v>2020003630007</v>
      </c>
      <c r="S10" s="376" t="s">
        <v>39</v>
      </c>
      <c r="T10" s="381"/>
      <c r="U10" s="381"/>
      <c r="V10" s="381"/>
      <c r="W10" s="381"/>
      <c r="X10" s="381"/>
      <c r="Y10" s="381"/>
      <c r="Z10" s="381"/>
      <c r="AA10" s="381"/>
      <c r="AB10" s="381"/>
      <c r="AC10" s="381"/>
      <c r="AD10" s="381"/>
      <c r="AE10" s="381"/>
      <c r="AF10" s="381"/>
      <c r="AG10" s="381"/>
      <c r="AH10" s="381"/>
      <c r="AI10" s="381"/>
      <c r="AJ10" s="381"/>
      <c r="AK10" s="381"/>
      <c r="AL10" s="381">
        <f>53750000-950000</f>
        <v>52800000</v>
      </c>
      <c r="AM10" s="381">
        <v>52800000</v>
      </c>
      <c r="AN10" s="381">
        <v>52800000</v>
      </c>
      <c r="AO10" s="381"/>
      <c r="AP10" s="381"/>
      <c r="AQ10" s="381"/>
      <c r="AR10" s="381"/>
      <c r="AS10" s="381"/>
      <c r="AT10" s="381"/>
      <c r="AU10" s="381">
        <f t="shared" si="0"/>
        <v>52800000</v>
      </c>
      <c r="AV10" s="381">
        <f t="shared" si="1"/>
        <v>52800000</v>
      </c>
      <c r="AW10" s="381">
        <f t="shared" si="2"/>
        <v>52800000</v>
      </c>
      <c r="AX10" s="383" t="s">
        <v>28</v>
      </c>
    </row>
    <row r="11" spans="1:129" s="332" customFormat="1" ht="86.25" customHeight="1" x14ac:dyDescent="0.25">
      <c r="A11" s="262">
        <v>304</v>
      </c>
      <c r="B11" s="325" t="s">
        <v>19</v>
      </c>
      <c r="C11" s="259"/>
      <c r="D11" s="325"/>
      <c r="E11" s="259">
        <v>4</v>
      </c>
      <c r="F11" s="325" t="s">
        <v>21</v>
      </c>
      <c r="G11" s="282" t="s">
        <v>29</v>
      </c>
      <c r="H11" s="384" t="s">
        <v>30</v>
      </c>
      <c r="I11" s="282" t="s">
        <v>31</v>
      </c>
      <c r="J11" s="385" t="s">
        <v>32</v>
      </c>
      <c r="K11" s="282" t="s">
        <v>40</v>
      </c>
      <c r="L11" s="385" t="s">
        <v>41</v>
      </c>
      <c r="M11" s="262">
        <v>459900200</v>
      </c>
      <c r="N11" s="385" t="s">
        <v>42</v>
      </c>
      <c r="O11" s="282" t="s">
        <v>26</v>
      </c>
      <c r="P11" s="390">
        <v>1</v>
      </c>
      <c r="Q11" s="391">
        <v>0.5</v>
      </c>
      <c r="R11" s="281">
        <v>2024003630009</v>
      </c>
      <c r="S11" s="325" t="s">
        <v>43</v>
      </c>
      <c r="T11" s="328"/>
      <c r="U11" s="328"/>
      <c r="V11" s="328"/>
      <c r="W11" s="328"/>
      <c r="X11" s="328"/>
      <c r="Y11" s="328"/>
      <c r="Z11" s="328"/>
      <c r="AA11" s="328"/>
      <c r="AB11" s="328"/>
      <c r="AC11" s="328"/>
      <c r="AD11" s="328"/>
      <c r="AE11" s="328"/>
      <c r="AF11" s="328"/>
      <c r="AG11" s="328"/>
      <c r="AH11" s="328"/>
      <c r="AI11" s="328"/>
      <c r="AJ11" s="328"/>
      <c r="AK11" s="328"/>
      <c r="AL11" s="328">
        <f>950000+136350000-50000000</f>
        <v>87300000</v>
      </c>
      <c r="AM11" s="328">
        <v>87260000</v>
      </c>
      <c r="AN11" s="328">
        <v>45800000</v>
      </c>
      <c r="AO11" s="328"/>
      <c r="AP11" s="328"/>
      <c r="AQ11" s="328"/>
      <c r="AR11" s="328"/>
      <c r="AS11" s="328"/>
      <c r="AT11" s="328"/>
      <c r="AU11" s="328">
        <f t="shared" si="0"/>
        <v>87300000</v>
      </c>
      <c r="AV11" s="328">
        <f t="shared" si="1"/>
        <v>87260000</v>
      </c>
      <c r="AW11" s="328">
        <f t="shared" si="2"/>
        <v>45800000</v>
      </c>
      <c r="AX11" s="387" t="s">
        <v>28</v>
      </c>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row>
    <row r="12" spans="1:129" s="331" customFormat="1" ht="86.25" customHeight="1" x14ac:dyDescent="0.25">
      <c r="A12" s="377">
        <v>304</v>
      </c>
      <c r="B12" s="392" t="s">
        <v>19</v>
      </c>
      <c r="C12" s="380">
        <v>4</v>
      </c>
      <c r="D12" s="392" t="s">
        <v>36</v>
      </c>
      <c r="E12" s="380">
        <v>4</v>
      </c>
      <c r="F12" s="376" t="s">
        <v>21</v>
      </c>
      <c r="G12" s="380">
        <v>45</v>
      </c>
      <c r="H12" s="392" t="s">
        <v>22</v>
      </c>
      <c r="I12" s="380">
        <v>4599</v>
      </c>
      <c r="J12" s="392" t="s">
        <v>23</v>
      </c>
      <c r="K12" s="380">
        <v>4599023</v>
      </c>
      <c r="L12" s="392" t="s">
        <v>24</v>
      </c>
      <c r="M12" s="377">
        <v>459902300</v>
      </c>
      <c r="N12" s="326" t="s">
        <v>25</v>
      </c>
      <c r="O12" s="378" t="s">
        <v>26</v>
      </c>
      <c r="P12" s="256">
        <v>1</v>
      </c>
      <c r="Q12" s="379">
        <v>1</v>
      </c>
      <c r="R12" s="380">
        <v>2022003630011</v>
      </c>
      <c r="S12" s="392" t="s">
        <v>44</v>
      </c>
      <c r="T12" s="381"/>
      <c r="U12" s="381"/>
      <c r="V12" s="381"/>
      <c r="W12" s="381"/>
      <c r="X12" s="381"/>
      <c r="Y12" s="381"/>
      <c r="Z12" s="381"/>
      <c r="AA12" s="381"/>
      <c r="AB12" s="381"/>
      <c r="AC12" s="381"/>
      <c r="AD12" s="381"/>
      <c r="AE12" s="381"/>
      <c r="AF12" s="381"/>
      <c r="AG12" s="381"/>
      <c r="AH12" s="381"/>
      <c r="AI12" s="381"/>
      <c r="AJ12" s="381"/>
      <c r="AK12" s="381"/>
      <c r="AL12" s="381">
        <f>22354454.76-9454454.76</f>
        <v>12900000.000000002</v>
      </c>
      <c r="AM12" s="381">
        <v>12900000</v>
      </c>
      <c r="AN12" s="381">
        <v>12900000</v>
      </c>
      <c r="AO12" s="381"/>
      <c r="AP12" s="381"/>
      <c r="AQ12" s="381"/>
      <c r="AR12" s="381"/>
      <c r="AS12" s="381"/>
      <c r="AT12" s="381"/>
      <c r="AU12" s="381">
        <f t="shared" si="0"/>
        <v>12900000.000000002</v>
      </c>
      <c r="AV12" s="381">
        <f t="shared" si="1"/>
        <v>12900000</v>
      </c>
      <c r="AW12" s="381">
        <f t="shared" si="2"/>
        <v>12900000</v>
      </c>
      <c r="AX12" s="383" t="s">
        <v>28</v>
      </c>
    </row>
    <row r="13" spans="1:129" s="332" customFormat="1" ht="86.25" customHeight="1" x14ac:dyDescent="0.25">
      <c r="A13" s="259">
        <v>304</v>
      </c>
      <c r="B13" s="393" t="s">
        <v>19</v>
      </c>
      <c r="C13" s="259"/>
      <c r="D13" s="325"/>
      <c r="E13" s="259">
        <v>4</v>
      </c>
      <c r="F13" s="325" t="s">
        <v>21</v>
      </c>
      <c r="G13" s="259">
        <v>45</v>
      </c>
      <c r="H13" s="384" t="s">
        <v>30</v>
      </c>
      <c r="I13" s="343" t="s">
        <v>31</v>
      </c>
      <c r="J13" s="393" t="s">
        <v>45</v>
      </c>
      <c r="K13" s="281">
        <v>4599036</v>
      </c>
      <c r="L13" s="393" t="s">
        <v>46</v>
      </c>
      <c r="M13" s="277">
        <v>459903600</v>
      </c>
      <c r="N13" s="393" t="s">
        <v>47</v>
      </c>
      <c r="O13" s="282" t="s">
        <v>26</v>
      </c>
      <c r="P13" s="259">
        <v>1</v>
      </c>
      <c r="Q13" s="394">
        <v>0.4</v>
      </c>
      <c r="R13" s="281">
        <v>2024003630008</v>
      </c>
      <c r="S13" s="393" t="s">
        <v>48</v>
      </c>
      <c r="T13" s="328"/>
      <c r="U13" s="328"/>
      <c r="V13" s="328"/>
      <c r="W13" s="328"/>
      <c r="X13" s="328"/>
      <c r="Y13" s="328"/>
      <c r="Z13" s="328"/>
      <c r="AA13" s="328"/>
      <c r="AB13" s="328"/>
      <c r="AC13" s="328"/>
      <c r="AD13" s="328"/>
      <c r="AE13" s="328"/>
      <c r="AF13" s="328"/>
      <c r="AG13" s="328"/>
      <c r="AH13" s="328"/>
      <c r="AI13" s="328"/>
      <c r="AJ13" s="328"/>
      <c r="AK13" s="328"/>
      <c r="AL13" s="328">
        <v>66800000</v>
      </c>
      <c r="AM13" s="328">
        <v>66800000</v>
      </c>
      <c r="AN13" s="328">
        <v>26700000</v>
      </c>
      <c r="AO13" s="328"/>
      <c r="AP13" s="328"/>
      <c r="AQ13" s="328"/>
      <c r="AR13" s="328"/>
      <c r="AS13" s="328"/>
      <c r="AT13" s="328"/>
      <c r="AU13" s="328">
        <f t="shared" si="0"/>
        <v>66800000</v>
      </c>
      <c r="AV13" s="328">
        <f t="shared" si="1"/>
        <v>66800000</v>
      </c>
      <c r="AW13" s="328">
        <f t="shared" si="2"/>
        <v>26700000</v>
      </c>
      <c r="AX13" s="387" t="s">
        <v>28</v>
      </c>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row>
    <row r="14" spans="1:129" s="331" customFormat="1" ht="89.25" customHeight="1" x14ac:dyDescent="0.25">
      <c r="A14" s="257">
        <v>304</v>
      </c>
      <c r="B14" s="376" t="s">
        <v>19</v>
      </c>
      <c r="C14" s="257">
        <v>4</v>
      </c>
      <c r="D14" s="376" t="s">
        <v>36</v>
      </c>
      <c r="E14" s="257">
        <v>4</v>
      </c>
      <c r="F14" s="376" t="s">
        <v>21</v>
      </c>
      <c r="G14" s="257">
        <v>45</v>
      </c>
      <c r="H14" s="376" t="s">
        <v>22</v>
      </c>
      <c r="I14" s="257">
        <v>4502</v>
      </c>
      <c r="J14" s="376" t="s">
        <v>49</v>
      </c>
      <c r="K14" s="257">
        <v>4502033</v>
      </c>
      <c r="L14" s="376" t="s">
        <v>50</v>
      </c>
      <c r="M14" s="395">
        <v>450203300</v>
      </c>
      <c r="N14" s="388" t="s">
        <v>51</v>
      </c>
      <c r="O14" s="378" t="s">
        <v>26</v>
      </c>
      <c r="P14" s="256">
        <v>1</v>
      </c>
      <c r="Q14" s="389">
        <v>1</v>
      </c>
      <c r="R14" s="380">
        <v>2020003630005</v>
      </c>
      <c r="S14" s="376" t="s">
        <v>52</v>
      </c>
      <c r="T14" s="381"/>
      <c r="U14" s="381"/>
      <c r="V14" s="381"/>
      <c r="W14" s="381"/>
      <c r="X14" s="381"/>
      <c r="Y14" s="381"/>
      <c r="Z14" s="381"/>
      <c r="AA14" s="381"/>
      <c r="AB14" s="381"/>
      <c r="AC14" s="381"/>
      <c r="AD14" s="381"/>
      <c r="AE14" s="381"/>
      <c r="AF14" s="381"/>
      <c r="AG14" s="381"/>
      <c r="AH14" s="381"/>
      <c r="AI14" s="381"/>
      <c r="AJ14" s="381"/>
      <c r="AK14" s="381"/>
      <c r="AL14" s="381">
        <f>43500000-28700000</f>
        <v>14800000</v>
      </c>
      <c r="AM14" s="381">
        <v>14800000</v>
      </c>
      <c r="AN14" s="381">
        <v>14800000</v>
      </c>
      <c r="AO14" s="381"/>
      <c r="AP14" s="381"/>
      <c r="AQ14" s="381"/>
      <c r="AR14" s="381"/>
      <c r="AS14" s="381"/>
      <c r="AT14" s="381"/>
      <c r="AU14" s="381">
        <f t="shared" si="0"/>
        <v>14800000</v>
      </c>
      <c r="AV14" s="381">
        <f t="shared" si="1"/>
        <v>14800000</v>
      </c>
      <c r="AW14" s="381">
        <f t="shared" si="2"/>
        <v>14800000</v>
      </c>
      <c r="AX14" s="383" t="s">
        <v>28</v>
      </c>
    </row>
    <row r="15" spans="1:129" s="332" customFormat="1" ht="89.25" customHeight="1" x14ac:dyDescent="0.25">
      <c r="A15" s="277">
        <v>304</v>
      </c>
      <c r="B15" s="325" t="s">
        <v>19</v>
      </c>
      <c r="C15" s="259"/>
      <c r="D15" s="325"/>
      <c r="E15" s="259">
        <v>4</v>
      </c>
      <c r="F15" s="325" t="s">
        <v>21</v>
      </c>
      <c r="G15" s="282" t="s">
        <v>29</v>
      </c>
      <c r="H15" s="384" t="s">
        <v>30</v>
      </c>
      <c r="I15" s="282" t="s">
        <v>53</v>
      </c>
      <c r="J15" s="385" t="s">
        <v>49</v>
      </c>
      <c r="K15" s="282" t="s">
        <v>54</v>
      </c>
      <c r="L15" s="385" t="s">
        <v>50</v>
      </c>
      <c r="M15" s="396" t="s">
        <v>55</v>
      </c>
      <c r="N15" s="385" t="s">
        <v>56</v>
      </c>
      <c r="O15" s="282" t="s">
        <v>26</v>
      </c>
      <c r="P15" s="279">
        <v>4</v>
      </c>
      <c r="Q15" s="389">
        <v>3</v>
      </c>
      <c r="R15" s="281">
        <v>2024003630010</v>
      </c>
      <c r="S15" s="325" t="s">
        <v>57</v>
      </c>
      <c r="T15" s="328"/>
      <c r="U15" s="328"/>
      <c r="V15" s="328"/>
      <c r="W15" s="328"/>
      <c r="X15" s="328"/>
      <c r="Y15" s="328"/>
      <c r="Z15" s="328"/>
      <c r="AA15" s="328"/>
      <c r="AB15" s="328"/>
      <c r="AC15" s="328"/>
      <c r="AD15" s="328"/>
      <c r="AE15" s="328"/>
      <c r="AF15" s="328"/>
      <c r="AG15" s="328"/>
      <c r="AH15" s="328"/>
      <c r="AI15" s="328"/>
      <c r="AJ15" s="328"/>
      <c r="AK15" s="328"/>
      <c r="AL15" s="328">
        <v>59802326.990000002</v>
      </c>
      <c r="AM15" s="328">
        <v>59736667</v>
      </c>
      <c r="AN15" s="328">
        <v>29400000</v>
      </c>
      <c r="AO15" s="328"/>
      <c r="AP15" s="328"/>
      <c r="AQ15" s="328"/>
      <c r="AR15" s="328"/>
      <c r="AS15" s="328"/>
      <c r="AT15" s="328"/>
      <c r="AU15" s="328">
        <f t="shared" si="0"/>
        <v>59802326.990000002</v>
      </c>
      <c r="AV15" s="328">
        <f t="shared" si="1"/>
        <v>59736667</v>
      </c>
      <c r="AW15" s="328">
        <f t="shared" si="2"/>
        <v>29400000</v>
      </c>
      <c r="AX15" s="387" t="s">
        <v>28</v>
      </c>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row>
    <row r="16" spans="1:129" s="331" customFormat="1" ht="102.75" customHeight="1" x14ac:dyDescent="0.25">
      <c r="A16" s="377">
        <v>305</v>
      </c>
      <c r="B16" s="397" t="s">
        <v>58</v>
      </c>
      <c r="C16" s="380">
        <v>4</v>
      </c>
      <c r="D16" s="397" t="s">
        <v>36</v>
      </c>
      <c r="E16" s="380">
        <v>4</v>
      </c>
      <c r="F16" s="376" t="s">
        <v>21</v>
      </c>
      <c r="G16" s="380">
        <v>45</v>
      </c>
      <c r="H16" s="397" t="s">
        <v>22</v>
      </c>
      <c r="I16" s="380">
        <v>4502</v>
      </c>
      <c r="J16" s="397" t="s">
        <v>49</v>
      </c>
      <c r="K16" s="380">
        <v>4502001</v>
      </c>
      <c r="L16" s="397" t="s">
        <v>59</v>
      </c>
      <c r="M16" s="398">
        <v>450200100</v>
      </c>
      <c r="N16" s="397" t="s">
        <v>60</v>
      </c>
      <c r="O16" s="380" t="s">
        <v>26</v>
      </c>
      <c r="P16" s="380">
        <v>1</v>
      </c>
      <c r="Q16" s="399">
        <v>0.27</v>
      </c>
      <c r="R16" s="380">
        <v>2020003630042</v>
      </c>
      <c r="S16" s="397" t="s">
        <v>61</v>
      </c>
      <c r="T16" s="381"/>
      <c r="U16" s="381"/>
      <c r="V16" s="381"/>
      <c r="W16" s="381"/>
      <c r="X16" s="381"/>
      <c r="Y16" s="381"/>
      <c r="Z16" s="381"/>
      <c r="AA16" s="381"/>
      <c r="AB16" s="381"/>
      <c r="AC16" s="381"/>
      <c r="AD16" s="381"/>
      <c r="AE16" s="381"/>
      <c r="AF16" s="381"/>
      <c r="AG16" s="381"/>
      <c r="AH16" s="381"/>
      <c r="AI16" s="381"/>
      <c r="AJ16" s="381"/>
      <c r="AK16" s="381"/>
      <c r="AL16" s="400">
        <f>200000000-110000000</f>
        <v>90000000</v>
      </c>
      <c r="AM16" s="400">
        <v>90000000</v>
      </c>
      <c r="AN16" s="400">
        <v>24487250</v>
      </c>
      <c r="AO16" s="381"/>
      <c r="AP16" s="381"/>
      <c r="AQ16" s="381"/>
      <c r="AR16" s="381"/>
      <c r="AS16" s="381"/>
      <c r="AT16" s="381"/>
      <c r="AU16" s="381">
        <f t="shared" si="0"/>
        <v>90000000</v>
      </c>
      <c r="AV16" s="381">
        <f t="shared" si="1"/>
        <v>90000000</v>
      </c>
      <c r="AW16" s="381">
        <f t="shared" si="2"/>
        <v>24487250</v>
      </c>
      <c r="AX16" s="397" t="s">
        <v>62</v>
      </c>
    </row>
    <row r="17" spans="1:129" s="332" customFormat="1" ht="91.5" customHeight="1" x14ac:dyDescent="0.25">
      <c r="A17" s="401">
        <v>305</v>
      </c>
      <c r="B17" s="402" t="s">
        <v>58</v>
      </c>
      <c r="C17" s="281"/>
      <c r="D17" s="393"/>
      <c r="E17" s="281">
        <v>4</v>
      </c>
      <c r="F17" s="393" t="s">
        <v>21</v>
      </c>
      <c r="G17" s="281">
        <v>45</v>
      </c>
      <c r="H17" s="393" t="s">
        <v>63</v>
      </c>
      <c r="I17" s="281">
        <v>4502</v>
      </c>
      <c r="J17" s="393" t="s">
        <v>49</v>
      </c>
      <c r="K17" s="281">
        <v>4502001</v>
      </c>
      <c r="L17" s="393" t="s">
        <v>59</v>
      </c>
      <c r="M17" s="401">
        <v>450200100</v>
      </c>
      <c r="N17" s="393" t="s">
        <v>60</v>
      </c>
      <c r="O17" s="281" t="s">
        <v>26</v>
      </c>
      <c r="P17" s="281">
        <v>1</v>
      </c>
      <c r="Q17" s="281">
        <v>0</v>
      </c>
      <c r="R17" s="281">
        <v>2024003630072</v>
      </c>
      <c r="S17" s="403" t="s">
        <v>64</v>
      </c>
      <c r="T17" s="328"/>
      <c r="U17" s="328"/>
      <c r="V17" s="328"/>
      <c r="W17" s="328"/>
      <c r="X17" s="328"/>
      <c r="Y17" s="328"/>
      <c r="Z17" s="328"/>
      <c r="AA17" s="328"/>
      <c r="AB17" s="328"/>
      <c r="AC17" s="328"/>
      <c r="AD17" s="328"/>
      <c r="AE17" s="328"/>
      <c r="AF17" s="328"/>
      <c r="AG17" s="328"/>
      <c r="AH17" s="328"/>
      <c r="AI17" s="328"/>
      <c r="AJ17" s="328"/>
      <c r="AK17" s="328"/>
      <c r="AL17" s="404">
        <v>110000000</v>
      </c>
      <c r="AM17" s="404">
        <v>90304000</v>
      </c>
      <c r="AN17" s="404">
        <v>3000000</v>
      </c>
      <c r="AO17" s="328"/>
      <c r="AP17" s="328"/>
      <c r="AQ17" s="328"/>
      <c r="AR17" s="328"/>
      <c r="AS17" s="328"/>
      <c r="AT17" s="328"/>
      <c r="AU17" s="328">
        <f t="shared" si="0"/>
        <v>110000000</v>
      </c>
      <c r="AV17" s="328">
        <f t="shared" si="1"/>
        <v>90304000</v>
      </c>
      <c r="AW17" s="328">
        <f t="shared" si="2"/>
        <v>3000000</v>
      </c>
      <c r="AX17" s="402" t="s">
        <v>62</v>
      </c>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row>
    <row r="18" spans="1:129" s="331" customFormat="1" ht="130.5" customHeight="1" x14ac:dyDescent="0.25">
      <c r="A18" s="380">
        <v>305</v>
      </c>
      <c r="B18" s="397" t="s">
        <v>58</v>
      </c>
      <c r="C18" s="380">
        <v>4</v>
      </c>
      <c r="D18" s="397" t="s">
        <v>36</v>
      </c>
      <c r="E18" s="380">
        <v>4</v>
      </c>
      <c r="F18" s="376" t="s">
        <v>21</v>
      </c>
      <c r="G18" s="380">
        <v>45</v>
      </c>
      <c r="H18" s="397" t="s">
        <v>22</v>
      </c>
      <c r="I18" s="380">
        <v>4599</v>
      </c>
      <c r="J18" s="397" t="s">
        <v>23</v>
      </c>
      <c r="K18" s="257">
        <v>4599018</v>
      </c>
      <c r="L18" s="397" t="s">
        <v>65</v>
      </c>
      <c r="M18" s="380">
        <v>459901800</v>
      </c>
      <c r="N18" s="397" t="s">
        <v>66</v>
      </c>
      <c r="O18" s="378" t="s">
        <v>67</v>
      </c>
      <c r="P18" s="380">
        <v>1</v>
      </c>
      <c r="Q18" s="405">
        <v>1</v>
      </c>
      <c r="R18" s="380">
        <v>2020003630044</v>
      </c>
      <c r="S18" s="397" t="s">
        <v>68</v>
      </c>
      <c r="T18" s="381"/>
      <c r="U18" s="381"/>
      <c r="V18" s="381"/>
      <c r="W18" s="381"/>
      <c r="X18" s="381"/>
      <c r="Y18" s="381"/>
      <c r="Z18" s="381"/>
      <c r="AA18" s="381"/>
      <c r="AB18" s="381"/>
      <c r="AC18" s="381"/>
      <c r="AD18" s="381"/>
      <c r="AE18" s="381"/>
      <c r="AF18" s="381"/>
      <c r="AG18" s="381"/>
      <c r="AH18" s="381"/>
      <c r="AI18" s="381"/>
      <c r="AJ18" s="381"/>
      <c r="AK18" s="381"/>
      <c r="AL18" s="400">
        <f>220000000-50000000-96900000</f>
        <v>73100000</v>
      </c>
      <c r="AM18" s="400">
        <v>63899999</v>
      </c>
      <c r="AN18" s="400">
        <v>63899999</v>
      </c>
      <c r="AO18" s="381"/>
      <c r="AP18" s="381"/>
      <c r="AQ18" s="381"/>
      <c r="AR18" s="381"/>
      <c r="AS18" s="381"/>
      <c r="AT18" s="381"/>
      <c r="AU18" s="381">
        <f t="shared" si="0"/>
        <v>73100000</v>
      </c>
      <c r="AV18" s="381">
        <f t="shared" si="1"/>
        <v>63899999</v>
      </c>
      <c r="AW18" s="381">
        <f t="shared" si="2"/>
        <v>63899999</v>
      </c>
      <c r="AX18" s="397" t="s">
        <v>62</v>
      </c>
    </row>
    <row r="19" spans="1:129" s="332" customFormat="1" ht="130.5" customHeight="1" x14ac:dyDescent="0.25">
      <c r="A19" s="285">
        <v>305</v>
      </c>
      <c r="B19" s="402" t="s">
        <v>58</v>
      </c>
      <c r="C19" s="281"/>
      <c r="D19" s="393"/>
      <c r="E19" s="281">
        <v>4</v>
      </c>
      <c r="F19" s="393" t="s">
        <v>21</v>
      </c>
      <c r="G19" s="281">
        <v>45</v>
      </c>
      <c r="H19" s="393" t="s">
        <v>63</v>
      </c>
      <c r="I19" s="281">
        <v>4599</v>
      </c>
      <c r="J19" s="402" t="s">
        <v>23</v>
      </c>
      <c r="K19" s="313">
        <v>4599031</v>
      </c>
      <c r="L19" s="402" t="s">
        <v>69</v>
      </c>
      <c r="M19" s="285">
        <v>459903100</v>
      </c>
      <c r="N19" s="406" t="s">
        <v>70</v>
      </c>
      <c r="O19" s="281" t="s">
        <v>67</v>
      </c>
      <c r="P19" s="281">
        <v>1</v>
      </c>
      <c r="Q19" s="407">
        <v>0.1</v>
      </c>
      <c r="R19" s="281">
        <v>2024003630119</v>
      </c>
      <c r="S19" s="408" t="s">
        <v>71</v>
      </c>
      <c r="T19" s="328"/>
      <c r="U19" s="328"/>
      <c r="V19" s="328"/>
      <c r="W19" s="328"/>
      <c r="X19" s="328"/>
      <c r="Y19" s="328"/>
      <c r="Z19" s="328"/>
      <c r="AA19" s="328"/>
      <c r="AB19" s="328"/>
      <c r="AC19" s="328"/>
      <c r="AD19" s="328"/>
      <c r="AE19" s="328"/>
      <c r="AF19" s="328"/>
      <c r="AG19" s="328"/>
      <c r="AH19" s="328"/>
      <c r="AI19" s="328"/>
      <c r="AJ19" s="328"/>
      <c r="AK19" s="328"/>
      <c r="AL19" s="404">
        <v>6900000</v>
      </c>
      <c r="AM19" s="404">
        <v>6900000</v>
      </c>
      <c r="AN19" s="404">
        <f>AM19</f>
        <v>6900000</v>
      </c>
      <c r="AO19" s="328"/>
      <c r="AP19" s="328"/>
      <c r="AQ19" s="328"/>
      <c r="AR19" s="328"/>
      <c r="AS19" s="328"/>
      <c r="AT19" s="328"/>
      <c r="AU19" s="328">
        <f t="shared" si="0"/>
        <v>6900000</v>
      </c>
      <c r="AV19" s="328">
        <f t="shared" si="1"/>
        <v>6900000</v>
      </c>
      <c r="AW19" s="328">
        <f t="shared" si="2"/>
        <v>6900000</v>
      </c>
      <c r="AX19" s="402" t="s">
        <v>62</v>
      </c>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row>
    <row r="20" spans="1:129" s="332" customFormat="1" ht="60" customHeight="1" x14ac:dyDescent="0.25">
      <c r="A20" s="285">
        <v>305</v>
      </c>
      <c r="B20" s="402" t="s">
        <v>58</v>
      </c>
      <c r="C20" s="281"/>
      <c r="D20" s="393"/>
      <c r="E20" s="281">
        <v>4</v>
      </c>
      <c r="F20" s="393" t="s">
        <v>21</v>
      </c>
      <c r="G20" s="281">
        <v>45</v>
      </c>
      <c r="H20" s="393" t="s">
        <v>63</v>
      </c>
      <c r="I20" s="281">
        <v>4599</v>
      </c>
      <c r="J20" s="385" t="s">
        <v>23</v>
      </c>
      <c r="K20" s="259" t="s">
        <v>72</v>
      </c>
      <c r="L20" s="386" t="s">
        <v>69</v>
      </c>
      <c r="M20" s="285">
        <v>459903105</v>
      </c>
      <c r="N20" s="409" t="s">
        <v>73</v>
      </c>
      <c r="O20" s="281" t="s">
        <v>26</v>
      </c>
      <c r="P20" s="281">
        <v>4</v>
      </c>
      <c r="Q20" s="407">
        <v>0.4</v>
      </c>
      <c r="R20" s="281">
        <v>2024003630119</v>
      </c>
      <c r="S20" s="408" t="s">
        <v>71</v>
      </c>
      <c r="T20" s="328"/>
      <c r="U20" s="328"/>
      <c r="V20" s="328"/>
      <c r="W20" s="328"/>
      <c r="X20" s="328"/>
      <c r="Y20" s="328"/>
      <c r="Z20" s="328"/>
      <c r="AA20" s="328"/>
      <c r="AB20" s="328"/>
      <c r="AC20" s="328"/>
      <c r="AD20" s="328"/>
      <c r="AE20" s="328"/>
      <c r="AF20" s="328"/>
      <c r="AG20" s="328"/>
      <c r="AH20" s="328"/>
      <c r="AI20" s="328"/>
      <c r="AJ20" s="328"/>
      <c r="AK20" s="328"/>
      <c r="AL20" s="404">
        <v>90000000</v>
      </c>
      <c r="AM20" s="404">
        <f>96896900-AM19</f>
        <v>89996900</v>
      </c>
      <c r="AN20" s="404">
        <f>53300000-AN19</f>
        <v>46400000</v>
      </c>
      <c r="AO20" s="328"/>
      <c r="AP20" s="328"/>
      <c r="AQ20" s="328"/>
      <c r="AR20" s="328"/>
      <c r="AS20" s="328"/>
      <c r="AT20" s="328"/>
      <c r="AU20" s="328">
        <f t="shared" si="0"/>
        <v>90000000</v>
      </c>
      <c r="AV20" s="328">
        <f t="shared" si="1"/>
        <v>89996900</v>
      </c>
      <c r="AW20" s="328">
        <f t="shared" si="2"/>
        <v>46400000</v>
      </c>
      <c r="AX20" s="402" t="s">
        <v>62</v>
      </c>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row>
    <row r="21" spans="1:129" s="331" customFormat="1" ht="86.25" customHeight="1" x14ac:dyDescent="0.25">
      <c r="A21" s="380">
        <v>305</v>
      </c>
      <c r="B21" s="397" t="s">
        <v>58</v>
      </c>
      <c r="C21" s="380">
        <v>4</v>
      </c>
      <c r="D21" s="397" t="s">
        <v>36</v>
      </c>
      <c r="E21" s="380">
        <v>4</v>
      </c>
      <c r="F21" s="376" t="s">
        <v>21</v>
      </c>
      <c r="G21" s="380">
        <v>45</v>
      </c>
      <c r="H21" s="397" t="s">
        <v>22</v>
      </c>
      <c r="I21" s="380">
        <v>4599</v>
      </c>
      <c r="J21" s="397" t="s">
        <v>23</v>
      </c>
      <c r="K21" s="380">
        <v>4599025</v>
      </c>
      <c r="L21" s="397" t="s">
        <v>74</v>
      </c>
      <c r="M21" s="380">
        <v>459902500</v>
      </c>
      <c r="N21" s="397" t="s">
        <v>75</v>
      </c>
      <c r="O21" s="380" t="s">
        <v>26</v>
      </c>
      <c r="P21" s="380">
        <v>1</v>
      </c>
      <c r="Q21" s="405">
        <v>1</v>
      </c>
      <c r="R21" s="380">
        <v>2020003630045</v>
      </c>
      <c r="S21" s="397" t="s">
        <v>76</v>
      </c>
      <c r="T21" s="381"/>
      <c r="U21" s="381"/>
      <c r="V21" s="381"/>
      <c r="W21" s="381"/>
      <c r="X21" s="381"/>
      <c r="Y21" s="381"/>
      <c r="Z21" s="381"/>
      <c r="AA21" s="381"/>
      <c r="AB21" s="381"/>
      <c r="AC21" s="381"/>
      <c r="AD21" s="381"/>
      <c r="AE21" s="381"/>
      <c r="AF21" s="381"/>
      <c r="AG21" s="381"/>
      <c r="AH21" s="381"/>
      <c r="AI21" s="381"/>
      <c r="AJ21" s="381"/>
      <c r="AK21" s="381"/>
      <c r="AL21" s="400">
        <f>106000000-41250000</f>
        <v>64750000</v>
      </c>
      <c r="AM21" s="400">
        <v>64750000</v>
      </c>
      <c r="AN21" s="400">
        <v>64750000</v>
      </c>
      <c r="AO21" s="381"/>
      <c r="AP21" s="381"/>
      <c r="AQ21" s="381"/>
      <c r="AR21" s="381"/>
      <c r="AS21" s="381"/>
      <c r="AT21" s="381"/>
      <c r="AU21" s="381">
        <f t="shared" si="0"/>
        <v>64750000</v>
      </c>
      <c r="AV21" s="381">
        <f t="shared" si="1"/>
        <v>64750000</v>
      </c>
      <c r="AW21" s="381">
        <f t="shared" si="2"/>
        <v>64750000</v>
      </c>
      <c r="AX21" s="397" t="s">
        <v>62</v>
      </c>
    </row>
    <row r="22" spans="1:129" s="332" customFormat="1" ht="86.25" customHeight="1" x14ac:dyDescent="0.25">
      <c r="A22" s="285">
        <v>305</v>
      </c>
      <c r="B22" s="402" t="s">
        <v>58</v>
      </c>
      <c r="C22" s="281"/>
      <c r="D22" s="393"/>
      <c r="E22" s="281">
        <v>4</v>
      </c>
      <c r="F22" s="393" t="s">
        <v>21</v>
      </c>
      <c r="G22" s="281">
        <v>45</v>
      </c>
      <c r="H22" s="393" t="s">
        <v>63</v>
      </c>
      <c r="I22" s="281">
        <v>4599</v>
      </c>
      <c r="J22" s="385" t="s">
        <v>23</v>
      </c>
      <c r="K22" s="281" t="s">
        <v>77</v>
      </c>
      <c r="L22" s="386" t="s">
        <v>74</v>
      </c>
      <c r="M22" s="285">
        <v>459902500</v>
      </c>
      <c r="N22" s="406" t="s">
        <v>75</v>
      </c>
      <c r="O22" s="281" t="s">
        <v>26</v>
      </c>
      <c r="P22" s="281">
        <v>2</v>
      </c>
      <c r="Q22" s="281">
        <v>0</v>
      </c>
      <c r="R22" s="281">
        <v>2024003630066</v>
      </c>
      <c r="S22" s="408" t="s">
        <v>78</v>
      </c>
      <c r="T22" s="328"/>
      <c r="U22" s="328"/>
      <c r="V22" s="328"/>
      <c r="W22" s="328"/>
      <c r="X22" s="328"/>
      <c r="Y22" s="328"/>
      <c r="Z22" s="328"/>
      <c r="AA22" s="328"/>
      <c r="AB22" s="328"/>
      <c r="AC22" s="328"/>
      <c r="AD22" s="328"/>
      <c r="AE22" s="328"/>
      <c r="AF22" s="328"/>
      <c r="AG22" s="328"/>
      <c r="AH22" s="328"/>
      <c r="AI22" s="328"/>
      <c r="AJ22" s="328"/>
      <c r="AK22" s="328"/>
      <c r="AL22" s="404">
        <f>16600000+50000000+3900000+21089771</f>
        <v>91589771</v>
      </c>
      <c r="AM22" s="404">
        <v>87504857</v>
      </c>
      <c r="AN22" s="404">
        <v>22200000</v>
      </c>
      <c r="AO22" s="328"/>
      <c r="AP22" s="328"/>
      <c r="AQ22" s="328"/>
      <c r="AR22" s="328"/>
      <c r="AS22" s="328"/>
      <c r="AT22" s="328"/>
      <c r="AU22" s="328">
        <f t="shared" si="0"/>
        <v>91589771</v>
      </c>
      <c r="AV22" s="328">
        <v>87504857</v>
      </c>
      <c r="AW22" s="328">
        <v>22200000</v>
      </c>
      <c r="AX22" s="402" t="s">
        <v>62</v>
      </c>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row>
    <row r="23" spans="1:129" s="332" customFormat="1" ht="60" customHeight="1" x14ac:dyDescent="0.25">
      <c r="A23" s="285">
        <v>305</v>
      </c>
      <c r="B23" s="402" t="s">
        <v>58</v>
      </c>
      <c r="C23" s="281"/>
      <c r="D23" s="393"/>
      <c r="E23" s="281">
        <v>4</v>
      </c>
      <c r="F23" s="393" t="s">
        <v>21</v>
      </c>
      <c r="G23" s="281">
        <v>45</v>
      </c>
      <c r="H23" s="393" t="s">
        <v>63</v>
      </c>
      <c r="I23" s="281">
        <v>4599</v>
      </c>
      <c r="J23" s="385" t="s">
        <v>23</v>
      </c>
      <c r="K23" s="281" t="s">
        <v>77</v>
      </c>
      <c r="L23" s="386" t="s">
        <v>74</v>
      </c>
      <c r="M23" s="410" t="s">
        <v>79</v>
      </c>
      <c r="N23" s="409" t="s">
        <v>80</v>
      </c>
      <c r="O23" s="281" t="s">
        <v>26</v>
      </c>
      <c r="P23" s="281">
        <v>1</v>
      </c>
      <c r="Q23" s="407">
        <v>0.1</v>
      </c>
      <c r="R23" s="281">
        <v>2024003630066</v>
      </c>
      <c r="S23" s="408" t="s">
        <v>78</v>
      </c>
      <c r="T23" s="328"/>
      <c r="U23" s="328"/>
      <c r="V23" s="328"/>
      <c r="W23" s="328"/>
      <c r="X23" s="328"/>
      <c r="Y23" s="328"/>
      <c r="Z23" s="328"/>
      <c r="AA23" s="328"/>
      <c r="AB23" s="328"/>
      <c r="AC23" s="328"/>
      <c r="AD23" s="328"/>
      <c r="AE23" s="328"/>
      <c r="AF23" s="328"/>
      <c r="AG23" s="328"/>
      <c r="AH23" s="328"/>
      <c r="AI23" s="328"/>
      <c r="AJ23" s="328"/>
      <c r="AK23" s="328"/>
      <c r="AL23" s="404">
        <f>41250000-300000-21089771+14595771</f>
        <v>34456000</v>
      </c>
      <c r="AM23" s="404">
        <v>33376600</v>
      </c>
      <c r="AN23" s="404">
        <v>11700000</v>
      </c>
      <c r="AO23" s="328"/>
      <c r="AP23" s="328"/>
      <c r="AQ23" s="328"/>
      <c r="AR23" s="328"/>
      <c r="AS23" s="328"/>
      <c r="AT23" s="328"/>
      <c r="AU23" s="328">
        <f t="shared" si="0"/>
        <v>34456000</v>
      </c>
      <c r="AV23" s="328">
        <v>33376600</v>
      </c>
      <c r="AW23" s="328">
        <v>11700000</v>
      </c>
      <c r="AX23" s="402" t="s">
        <v>62</v>
      </c>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row>
    <row r="24" spans="1:129" s="331" customFormat="1" ht="60" customHeight="1" x14ac:dyDescent="0.25">
      <c r="A24" s="380">
        <v>305</v>
      </c>
      <c r="B24" s="397" t="s">
        <v>58</v>
      </c>
      <c r="C24" s="380">
        <v>4</v>
      </c>
      <c r="D24" s="397" t="s">
        <v>36</v>
      </c>
      <c r="E24" s="380">
        <v>4</v>
      </c>
      <c r="F24" s="376" t="s">
        <v>21</v>
      </c>
      <c r="G24" s="380">
        <v>45</v>
      </c>
      <c r="H24" s="397" t="s">
        <v>22</v>
      </c>
      <c r="I24" s="380">
        <v>4599</v>
      </c>
      <c r="J24" s="397" t="s">
        <v>23</v>
      </c>
      <c r="K24" s="380">
        <v>4599025</v>
      </c>
      <c r="L24" s="397" t="s">
        <v>74</v>
      </c>
      <c r="M24" s="380">
        <v>459902500</v>
      </c>
      <c r="N24" s="397" t="s">
        <v>75</v>
      </c>
      <c r="O24" s="380" t="s">
        <v>26</v>
      </c>
      <c r="P24" s="380">
        <v>1</v>
      </c>
      <c r="Q24" s="405">
        <v>1</v>
      </c>
      <c r="R24" s="380">
        <v>2020003630046</v>
      </c>
      <c r="S24" s="397" t="s">
        <v>81</v>
      </c>
      <c r="T24" s="381"/>
      <c r="U24" s="381"/>
      <c r="V24" s="381"/>
      <c r="W24" s="381"/>
      <c r="X24" s="381"/>
      <c r="Y24" s="381"/>
      <c r="Z24" s="381"/>
      <c r="AA24" s="381"/>
      <c r="AB24" s="381"/>
      <c r="AC24" s="381"/>
      <c r="AD24" s="381"/>
      <c r="AE24" s="381"/>
      <c r="AF24" s="381"/>
      <c r="AG24" s="381"/>
      <c r="AH24" s="381"/>
      <c r="AI24" s="381"/>
      <c r="AJ24" s="381"/>
      <c r="AK24" s="381"/>
      <c r="AL24" s="400">
        <f>450000000+2246787-100000000+23000000-115146787</f>
        <v>260100000</v>
      </c>
      <c r="AM24" s="400">
        <v>260100000</v>
      </c>
      <c r="AN24" s="400">
        <v>251500000</v>
      </c>
      <c r="AO24" s="381"/>
      <c r="AP24" s="381"/>
      <c r="AQ24" s="381"/>
      <c r="AR24" s="381"/>
      <c r="AS24" s="381"/>
      <c r="AT24" s="381"/>
      <c r="AU24" s="381">
        <f t="shared" si="0"/>
        <v>260100000</v>
      </c>
      <c r="AV24" s="381">
        <f t="shared" si="1"/>
        <v>260100000</v>
      </c>
      <c r="AW24" s="381">
        <f t="shared" si="2"/>
        <v>251500000</v>
      </c>
      <c r="AX24" s="397" t="s">
        <v>62</v>
      </c>
    </row>
    <row r="25" spans="1:129" s="332" customFormat="1" ht="60" customHeight="1" x14ac:dyDescent="0.25">
      <c r="A25" s="285">
        <v>305</v>
      </c>
      <c r="B25" s="402" t="s">
        <v>58</v>
      </c>
      <c r="C25" s="281"/>
      <c r="D25" s="393"/>
      <c r="E25" s="281">
        <v>4</v>
      </c>
      <c r="F25" s="393" t="s">
        <v>21</v>
      </c>
      <c r="G25" s="281">
        <v>45</v>
      </c>
      <c r="H25" s="393" t="s">
        <v>63</v>
      </c>
      <c r="I25" s="281">
        <v>4599</v>
      </c>
      <c r="J25" s="385" t="s">
        <v>23</v>
      </c>
      <c r="K25" s="259">
        <v>4599031</v>
      </c>
      <c r="L25" s="386" t="s">
        <v>69</v>
      </c>
      <c r="M25" s="285">
        <v>459903102</v>
      </c>
      <c r="N25" s="409" t="s">
        <v>82</v>
      </c>
      <c r="O25" s="281" t="s">
        <v>26</v>
      </c>
      <c r="P25" s="281">
        <v>16</v>
      </c>
      <c r="Q25" s="281">
        <v>11</v>
      </c>
      <c r="R25" s="281">
        <v>2024003630035</v>
      </c>
      <c r="S25" s="408" t="s">
        <v>83</v>
      </c>
      <c r="T25" s="328"/>
      <c r="U25" s="328"/>
      <c r="V25" s="328"/>
      <c r="W25" s="328"/>
      <c r="X25" s="328"/>
      <c r="Y25" s="328"/>
      <c r="Z25" s="328"/>
      <c r="AA25" s="328"/>
      <c r="AB25" s="328"/>
      <c r="AC25" s="328"/>
      <c r="AD25" s="328"/>
      <c r="AE25" s="328"/>
      <c r="AF25" s="328"/>
      <c r="AG25" s="328"/>
      <c r="AH25" s="328"/>
      <c r="AI25" s="328"/>
      <c r="AJ25" s="328"/>
      <c r="AK25" s="328"/>
      <c r="AL25" s="404">
        <f>115146787+18600000+20000000+89125802.23-8000000+619081-381674.23</f>
        <v>235109996.00000003</v>
      </c>
      <c r="AM25" s="404">
        <f>239746663-AM26</f>
        <v>231984069.77000001</v>
      </c>
      <c r="AN25" s="404">
        <v>125500000</v>
      </c>
      <c r="AO25" s="328"/>
      <c r="AP25" s="328"/>
      <c r="AQ25" s="328"/>
      <c r="AR25" s="328"/>
      <c r="AS25" s="328"/>
      <c r="AT25" s="328"/>
      <c r="AU25" s="328">
        <f t="shared" si="0"/>
        <v>235109996.00000003</v>
      </c>
      <c r="AV25" s="328">
        <f t="shared" si="1"/>
        <v>231984069.77000001</v>
      </c>
      <c r="AW25" s="328">
        <f t="shared" si="2"/>
        <v>125500000</v>
      </c>
      <c r="AX25" s="402" t="s">
        <v>62</v>
      </c>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row>
    <row r="26" spans="1:129" s="332" customFormat="1" ht="60" customHeight="1" x14ac:dyDescent="0.25">
      <c r="A26" s="285">
        <v>305</v>
      </c>
      <c r="B26" s="402" t="s">
        <v>58</v>
      </c>
      <c r="C26" s="281"/>
      <c r="D26" s="393"/>
      <c r="E26" s="281">
        <v>4</v>
      </c>
      <c r="F26" s="393" t="s">
        <v>21</v>
      </c>
      <c r="G26" s="281">
        <v>45</v>
      </c>
      <c r="H26" s="393" t="s">
        <v>63</v>
      </c>
      <c r="I26" s="281">
        <v>4599</v>
      </c>
      <c r="J26" s="385" t="s">
        <v>23</v>
      </c>
      <c r="K26" s="313">
        <v>4599031</v>
      </c>
      <c r="L26" s="386" t="s">
        <v>69</v>
      </c>
      <c r="M26" s="285">
        <v>459903100</v>
      </c>
      <c r="N26" s="406" t="s">
        <v>70</v>
      </c>
      <c r="O26" s="281" t="s">
        <v>67</v>
      </c>
      <c r="P26" s="281">
        <v>1</v>
      </c>
      <c r="Q26" s="281">
        <v>0</v>
      </c>
      <c r="R26" s="281">
        <v>2024003630035</v>
      </c>
      <c r="S26" s="408" t="s">
        <v>83</v>
      </c>
      <c r="T26" s="328"/>
      <c r="U26" s="328"/>
      <c r="V26" s="328"/>
      <c r="W26" s="328"/>
      <c r="X26" s="328"/>
      <c r="Y26" s="328"/>
      <c r="Z26" s="328"/>
      <c r="AA26" s="328"/>
      <c r="AB26" s="328"/>
      <c r="AC26" s="328"/>
      <c r="AD26" s="328"/>
      <c r="AE26" s="328"/>
      <c r="AF26" s="328"/>
      <c r="AG26" s="328"/>
      <c r="AH26" s="328"/>
      <c r="AI26" s="328"/>
      <c r="AJ26" s="328"/>
      <c r="AK26" s="328"/>
      <c r="AL26" s="404">
        <f>8000000-619081+381674.23</f>
        <v>7762593.2300000004</v>
      </c>
      <c r="AM26" s="404">
        <f>AL26</f>
        <v>7762593.2300000004</v>
      </c>
      <c r="AN26" s="404"/>
      <c r="AO26" s="328"/>
      <c r="AP26" s="328"/>
      <c r="AQ26" s="328"/>
      <c r="AR26" s="328"/>
      <c r="AS26" s="328"/>
      <c r="AT26" s="328"/>
      <c r="AU26" s="328">
        <f t="shared" si="0"/>
        <v>7762593.2300000004</v>
      </c>
      <c r="AV26" s="328">
        <f t="shared" si="1"/>
        <v>7762593.2300000004</v>
      </c>
      <c r="AW26" s="328">
        <f t="shared" si="2"/>
        <v>0</v>
      </c>
      <c r="AX26" s="402" t="s">
        <v>62</v>
      </c>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row>
    <row r="27" spans="1:129" s="331" customFormat="1" ht="80.25" customHeight="1" x14ac:dyDescent="0.25">
      <c r="A27" s="380">
        <v>305</v>
      </c>
      <c r="B27" s="397" t="s">
        <v>58</v>
      </c>
      <c r="C27" s="380">
        <v>4</v>
      </c>
      <c r="D27" s="397" t="s">
        <v>36</v>
      </c>
      <c r="E27" s="380">
        <v>4</v>
      </c>
      <c r="F27" s="376" t="s">
        <v>21</v>
      </c>
      <c r="G27" s="380">
        <v>45</v>
      </c>
      <c r="H27" s="397" t="s">
        <v>22</v>
      </c>
      <c r="I27" s="380">
        <v>4599</v>
      </c>
      <c r="J27" s="397" t="s">
        <v>23</v>
      </c>
      <c r="K27" s="257">
        <v>4599031</v>
      </c>
      <c r="L27" s="397" t="s">
        <v>69</v>
      </c>
      <c r="M27" s="380">
        <v>459903101</v>
      </c>
      <c r="N27" s="397" t="s">
        <v>84</v>
      </c>
      <c r="O27" s="380" t="s">
        <v>26</v>
      </c>
      <c r="P27" s="380">
        <v>12</v>
      </c>
      <c r="Q27" s="405">
        <v>12</v>
      </c>
      <c r="R27" s="380">
        <v>2020003630047</v>
      </c>
      <c r="S27" s="397" t="s">
        <v>85</v>
      </c>
      <c r="T27" s="381"/>
      <c r="U27" s="381"/>
      <c r="V27" s="381"/>
      <c r="W27" s="381"/>
      <c r="X27" s="381"/>
      <c r="Y27" s="381"/>
      <c r="Z27" s="381"/>
      <c r="AA27" s="381"/>
      <c r="AB27" s="381"/>
      <c r="AC27" s="381"/>
      <c r="AD27" s="381"/>
      <c r="AE27" s="381"/>
      <c r="AF27" s="381"/>
      <c r="AG27" s="381"/>
      <c r="AH27" s="381"/>
      <c r="AI27" s="381"/>
      <c r="AJ27" s="381"/>
      <c r="AK27" s="381"/>
      <c r="AL27" s="400">
        <f>56000000-36600000</f>
        <v>19400000</v>
      </c>
      <c r="AM27" s="400">
        <f>56000000-36600000</f>
        <v>19400000</v>
      </c>
      <c r="AN27" s="400">
        <f>56000000-36600000</f>
        <v>19400000</v>
      </c>
      <c r="AO27" s="381"/>
      <c r="AP27" s="381"/>
      <c r="AQ27" s="381"/>
      <c r="AR27" s="381"/>
      <c r="AS27" s="381"/>
      <c r="AT27" s="381"/>
      <c r="AU27" s="381">
        <f t="shared" si="0"/>
        <v>19400000</v>
      </c>
      <c r="AV27" s="381">
        <f t="shared" si="1"/>
        <v>19400000</v>
      </c>
      <c r="AW27" s="381">
        <f t="shared" si="2"/>
        <v>19400000</v>
      </c>
      <c r="AX27" s="397" t="s">
        <v>62</v>
      </c>
    </row>
    <row r="28" spans="1:129" s="331" customFormat="1" ht="60" customHeight="1" x14ac:dyDescent="0.25">
      <c r="A28" s="380">
        <v>305</v>
      </c>
      <c r="B28" s="397" t="s">
        <v>58</v>
      </c>
      <c r="C28" s="380">
        <v>4</v>
      </c>
      <c r="D28" s="397" t="s">
        <v>36</v>
      </c>
      <c r="E28" s="380">
        <v>4</v>
      </c>
      <c r="F28" s="376" t="s">
        <v>21</v>
      </c>
      <c r="G28" s="380">
        <v>45</v>
      </c>
      <c r="H28" s="397" t="s">
        <v>22</v>
      </c>
      <c r="I28" s="380">
        <v>4599</v>
      </c>
      <c r="J28" s="397" t="s">
        <v>23</v>
      </c>
      <c r="K28" s="257">
        <v>4599031</v>
      </c>
      <c r="L28" s="397" t="s">
        <v>69</v>
      </c>
      <c r="M28" s="380">
        <v>459903101</v>
      </c>
      <c r="N28" s="397" t="s">
        <v>84</v>
      </c>
      <c r="O28" s="380" t="s">
        <v>26</v>
      </c>
      <c r="P28" s="380">
        <v>12</v>
      </c>
      <c r="Q28" s="405">
        <v>12</v>
      </c>
      <c r="R28" s="380">
        <v>2020003630047</v>
      </c>
      <c r="S28" s="397" t="s">
        <v>85</v>
      </c>
      <c r="T28" s="381"/>
      <c r="U28" s="381"/>
      <c r="V28" s="381"/>
      <c r="W28" s="381"/>
      <c r="X28" s="381"/>
      <c r="Y28" s="381"/>
      <c r="Z28" s="381"/>
      <c r="AA28" s="381"/>
      <c r="AB28" s="381"/>
      <c r="AC28" s="381"/>
      <c r="AD28" s="381"/>
      <c r="AE28" s="381"/>
      <c r="AF28" s="381"/>
      <c r="AG28" s="381"/>
      <c r="AH28" s="381"/>
      <c r="AI28" s="381"/>
      <c r="AJ28" s="381"/>
      <c r="AK28" s="381"/>
      <c r="AL28" s="400">
        <f>46000000-20100000</f>
        <v>25900000</v>
      </c>
      <c r="AM28" s="400">
        <f>46000000-20100000</f>
        <v>25900000</v>
      </c>
      <c r="AN28" s="400">
        <f>46000000-20100000</f>
        <v>25900000</v>
      </c>
      <c r="AO28" s="381"/>
      <c r="AP28" s="381"/>
      <c r="AQ28" s="381"/>
      <c r="AR28" s="381"/>
      <c r="AS28" s="381"/>
      <c r="AT28" s="381"/>
      <c r="AU28" s="381">
        <f t="shared" si="0"/>
        <v>25900000</v>
      </c>
      <c r="AV28" s="381">
        <f t="shared" si="1"/>
        <v>25900000</v>
      </c>
      <c r="AW28" s="381">
        <f t="shared" si="2"/>
        <v>25900000</v>
      </c>
      <c r="AX28" s="397" t="s">
        <v>62</v>
      </c>
    </row>
    <row r="29" spans="1:129" s="331" customFormat="1" ht="60" customHeight="1" x14ac:dyDescent="0.25">
      <c r="A29" s="380">
        <v>305</v>
      </c>
      <c r="B29" s="397" t="s">
        <v>58</v>
      </c>
      <c r="C29" s="380">
        <v>4</v>
      </c>
      <c r="D29" s="397" t="s">
        <v>36</v>
      </c>
      <c r="E29" s="380">
        <v>4</v>
      </c>
      <c r="F29" s="376" t="s">
        <v>21</v>
      </c>
      <c r="G29" s="380">
        <v>45</v>
      </c>
      <c r="H29" s="397" t="s">
        <v>22</v>
      </c>
      <c r="I29" s="380">
        <v>4599</v>
      </c>
      <c r="J29" s="397" t="s">
        <v>23</v>
      </c>
      <c r="K29" s="257">
        <v>4599031</v>
      </c>
      <c r="L29" s="397" t="s">
        <v>69</v>
      </c>
      <c r="M29" s="380">
        <v>459903101</v>
      </c>
      <c r="N29" s="397" t="s">
        <v>84</v>
      </c>
      <c r="O29" s="380" t="s">
        <v>26</v>
      </c>
      <c r="P29" s="380">
        <v>12</v>
      </c>
      <c r="Q29" s="405">
        <v>12</v>
      </c>
      <c r="R29" s="380">
        <v>2020003630047</v>
      </c>
      <c r="S29" s="397" t="s">
        <v>85</v>
      </c>
      <c r="T29" s="381"/>
      <c r="U29" s="381"/>
      <c r="V29" s="381"/>
      <c r="W29" s="381"/>
      <c r="X29" s="381"/>
      <c r="Y29" s="381"/>
      <c r="Z29" s="381"/>
      <c r="AA29" s="381"/>
      <c r="AB29" s="381"/>
      <c r="AC29" s="381"/>
      <c r="AD29" s="381"/>
      <c r="AE29" s="381"/>
      <c r="AF29" s="381"/>
      <c r="AG29" s="381"/>
      <c r="AH29" s="381"/>
      <c r="AI29" s="381"/>
      <c r="AJ29" s="381"/>
      <c r="AK29" s="381"/>
      <c r="AL29" s="400">
        <f>46000000-31200000</f>
        <v>14800000</v>
      </c>
      <c r="AM29" s="400">
        <f>46000000-31200000</f>
        <v>14800000</v>
      </c>
      <c r="AN29" s="400">
        <f>46000000-31200000</f>
        <v>14800000</v>
      </c>
      <c r="AO29" s="381"/>
      <c r="AP29" s="381"/>
      <c r="AQ29" s="381"/>
      <c r="AR29" s="381"/>
      <c r="AS29" s="381"/>
      <c r="AT29" s="381"/>
      <c r="AU29" s="381">
        <f t="shared" si="0"/>
        <v>14800000</v>
      </c>
      <c r="AV29" s="381">
        <f t="shared" si="1"/>
        <v>14800000</v>
      </c>
      <c r="AW29" s="381">
        <f t="shared" si="2"/>
        <v>14800000</v>
      </c>
      <c r="AX29" s="397" t="s">
        <v>62</v>
      </c>
    </row>
    <row r="30" spans="1:129" s="331" customFormat="1" ht="88.5" customHeight="1" x14ac:dyDescent="0.25">
      <c r="A30" s="380">
        <v>305</v>
      </c>
      <c r="B30" s="397" t="s">
        <v>58</v>
      </c>
      <c r="C30" s="380">
        <v>4</v>
      </c>
      <c r="D30" s="397" t="s">
        <v>36</v>
      </c>
      <c r="E30" s="380">
        <v>4</v>
      </c>
      <c r="F30" s="376" t="s">
        <v>21</v>
      </c>
      <c r="G30" s="380">
        <v>45</v>
      </c>
      <c r="H30" s="397" t="s">
        <v>22</v>
      </c>
      <c r="I30" s="380">
        <v>4599</v>
      </c>
      <c r="J30" s="397" t="s">
        <v>23</v>
      </c>
      <c r="K30" s="257">
        <v>4599031</v>
      </c>
      <c r="L30" s="397" t="s">
        <v>69</v>
      </c>
      <c r="M30" s="380">
        <v>459903101</v>
      </c>
      <c r="N30" s="397" t="s">
        <v>84</v>
      </c>
      <c r="O30" s="380" t="s">
        <v>26</v>
      </c>
      <c r="P30" s="380">
        <v>12</v>
      </c>
      <c r="Q30" s="405">
        <v>12</v>
      </c>
      <c r="R30" s="380">
        <v>2020003630047</v>
      </c>
      <c r="S30" s="397" t="s">
        <v>85</v>
      </c>
      <c r="T30" s="381"/>
      <c r="U30" s="381"/>
      <c r="V30" s="381"/>
      <c r="W30" s="381"/>
      <c r="X30" s="381"/>
      <c r="Y30" s="381"/>
      <c r="Z30" s="381"/>
      <c r="AA30" s="381"/>
      <c r="AB30" s="381"/>
      <c r="AC30" s="381"/>
      <c r="AD30" s="381"/>
      <c r="AE30" s="381"/>
      <c r="AF30" s="381"/>
      <c r="AG30" s="381"/>
      <c r="AH30" s="381"/>
      <c r="AI30" s="381"/>
      <c r="AJ30" s="381"/>
      <c r="AK30" s="381"/>
      <c r="AL30" s="400">
        <f>46000000-38600000</f>
        <v>7400000</v>
      </c>
      <c r="AM30" s="400">
        <f>46000000-38600000</f>
        <v>7400000</v>
      </c>
      <c r="AN30" s="400">
        <f>46000000-38600000</f>
        <v>7400000</v>
      </c>
      <c r="AO30" s="381"/>
      <c r="AP30" s="381"/>
      <c r="AQ30" s="381"/>
      <c r="AR30" s="381"/>
      <c r="AS30" s="381"/>
      <c r="AT30" s="381"/>
      <c r="AU30" s="381">
        <f t="shared" si="0"/>
        <v>7400000</v>
      </c>
      <c r="AV30" s="381">
        <f t="shared" si="1"/>
        <v>7400000</v>
      </c>
      <c r="AW30" s="381">
        <f t="shared" si="2"/>
        <v>7400000</v>
      </c>
      <c r="AX30" s="397" t="s">
        <v>62</v>
      </c>
    </row>
    <row r="31" spans="1:129" s="332" customFormat="1" ht="88.5" customHeight="1" x14ac:dyDescent="0.25">
      <c r="A31" s="285">
        <v>305</v>
      </c>
      <c r="B31" s="402" t="s">
        <v>58</v>
      </c>
      <c r="C31" s="281"/>
      <c r="D31" s="393"/>
      <c r="E31" s="281">
        <v>4</v>
      </c>
      <c r="F31" s="393" t="s">
        <v>21</v>
      </c>
      <c r="G31" s="281">
        <v>45</v>
      </c>
      <c r="H31" s="393" t="s">
        <v>63</v>
      </c>
      <c r="I31" s="281">
        <v>4599</v>
      </c>
      <c r="J31" s="385" t="s">
        <v>23</v>
      </c>
      <c r="K31" s="282" t="s">
        <v>72</v>
      </c>
      <c r="L31" s="386" t="s">
        <v>69</v>
      </c>
      <c r="M31" s="285">
        <v>459903100</v>
      </c>
      <c r="N31" s="406" t="s">
        <v>70</v>
      </c>
      <c r="O31" s="281" t="s">
        <v>26</v>
      </c>
      <c r="P31" s="281">
        <v>12</v>
      </c>
      <c r="Q31" s="405">
        <v>12</v>
      </c>
      <c r="R31" s="281">
        <v>2024003630041</v>
      </c>
      <c r="S31" s="402" t="s">
        <v>86</v>
      </c>
      <c r="T31" s="328"/>
      <c r="U31" s="328"/>
      <c r="V31" s="328"/>
      <c r="W31" s="328"/>
      <c r="X31" s="328"/>
      <c r="Y31" s="328"/>
      <c r="Z31" s="328"/>
      <c r="AA31" s="328"/>
      <c r="AB31" s="328"/>
      <c r="AC31" s="328"/>
      <c r="AD31" s="328"/>
      <c r="AE31" s="328"/>
      <c r="AF31" s="328"/>
      <c r="AG31" s="328"/>
      <c r="AH31" s="328"/>
      <c r="AI31" s="328"/>
      <c r="AJ31" s="328"/>
      <c r="AK31" s="328"/>
      <c r="AL31" s="404">
        <f>150668793-14595771</f>
        <v>136073022</v>
      </c>
      <c r="AM31" s="404">
        <v>114266633</v>
      </c>
      <c r="AN31" s="404">
        <v>51800000</v>
      </c>
      <c r="AO31" s="328"/>
      <c r="AP31" s="328"/>
      <c r="AQ31" s="328"/>
      <c r="AR31" s="328"/>
      <c r="AS31" s="328"/>
      <c r="AT31" s="328"/>
      <c r="AU31" s="328">
        <f t="shared" si="0"/>
        <v>136073022</v>
      </c>
      <c r="AV31" s="328">
        <f t="shared" si="1"/>
        <v>114266633</v>
      </c>
      <c r="AW31" s="328">
        <f t="shared" si="2"/>
        <v>51800000</v>
      </c>
      <c r="AX31" s="402" t="s">
        <v>62</v>
      </c>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row>
    <row r="32" spans="1:129" s="332" customFormat="1" ht="69.75" customHeight="1" x14ac:dyDescent="0.25">
      <c r="A32" s="401">
        <v>305</v>
      </c>
      <c r="B32" s="402" t="s">
        <v>58</v>
      </c>
      <c r="C32" s="281"/>
      <c r="D32" s="393"/>
      <c r="E32" s="281">
        <v>4</v>
      </c>
      <c r="F32" s="393" t="s">
        <v>21</v>
      </c>
      <c r="G32" s="281">
        <v>45</v>
      </c>
      <c r="H32" s="393" t="s">
        <v>63</v>
      </c>
      <c r="I32" s="281">
        <v>4599</v>
      </c>
      <c r="J32" s="385" t="s">
        <v>23</v>
      </c>
      <c r="K32" s="281" t="s">
        <v>33</v>
      </c>
      <c r="L32" s="386" t="s">
        <v>34</v>
      </c>
      <c r="M32" s="401">
        <v>459902300</v>
      </c>
      <c r="N32" s="411" t="s">
        <v>25</v>
      </c>
      <c r="O32" s="281" t="s">
        <v>26</v>
      </c>
      <c r="P32" s="281">
        <v>1</v>
      </c>
      <c r="Q32" s="412">
        <v>0.08</v>
      </c>
      <c r="R32" s="281">
        <v>2024003630037</v>
      </c>
      <c r="S32" s="402" t="s">
        <v>87</v>
      </c>
      <c r="T32" s="328"/>
      <c r="U32" s="328"/>
      <c r="V32" s="328"/>
      <c r="W32" s="328"/>
      <c r="X32" s="328"/>
      <c r="Y32" s="328"/>
      <c r="Z32" s="328"/>
      <c r="AA32" s="328"/>
      <c r="AB32" s="328"/>
      <c r="AC32" s="328"/>
      <c r="AD32" s="328"/>
      <c r="AE32" s="328"/>
      <c r="AF32" s="328"/>
      <c r="AG32" s="328"/>
      <c r="AH32" s="328"/>
      <c r="AI32" s="328"/>
      <c r="AJ32" s="328"/>
      <c r="AK32" s="328"/>
      <c r="AL32" s="404">
        <f>92000000-20000000+2700000+300000-9000000-7230000</f>
        <v>58770000</v>
      </c>
      <c r="AM32" s="404">
        <v>52339999</v>
      </c>
      <c r="AN32" s="404">
        <v>12900000</v>
      </c>
      <c r="AO32" s="328"/>
      <c r="AP32" s="328"/>
      <c r="AQ32" s="328"/>
      <c r="AR32" s="328"/>
      <c r="AS32" s="328"/>
      <c r="AT32" s="328"/>
      <c r="AU32" s="328">
        <f t="shared" si="0"/>
        <v>58770000</v>
      </c>
      <c r="AV32" s="328">
        <f t="shared" si="1"/>
        <v>52339999</v>
      </c>
      <c r="AW32" s="328">
        <f t="shared" si="2"/>
        <v>12900000</v>
      </c>
      <c r="AX32" s="402" t="s">
        <v>62</v>
      </c>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row>
    <row r="33" spans="1:129" s="332" customFormat="1" ht="85.5" customHeight="1" x14ac:dyDescent="0.25">
      <c r="A33" s="401">
        <v>305</v>
      </c>
      <c r="B33" s="402" t="s">
        <v>58</v>
      </c>
      <c r="C33" s="281"/>
      <c r="D33" s="393"/>
      <c r="E33" s="281">
        <v>4</v>
      </c>
      <c r="F33" s="385" t="s">
        <v>21</v>
      </c>
      <c r="G33" s="281">
        <v>45</v>
      </c>
      <c r="H33" s="393" t="s">
        <v>63</v>
      </c>
      <c r="I33" s="281">
        <v>4599</v>
      </c>
      <c r="J33" s="385" t="s">
        <v>23</v>
      </c>
      <c r="K33" s="259">
        <v>4599001</v>
      </c>
      <c r="L33" s="386" t="s">
        <v>89</v>
      </c>
      <c r="M33" s="413" t="s">
        <v>90</v>
      </c>
      <c r="N33" s="409" t="s">
        <v>91</v>
      </c>
      <c r="O33" s="281" t="s">
        <v>26</v>
      </c>
      <c r="P33" s="281">
        <v>13</v>
      </c>
      <c r="Q33" s="405">
        <v>1</v>
      </c>
      <c r="R33" s="281">
        <v>2024003630038</v>
      </c>
      <c r="S33" s="402" t="s">
        <v>92</v>
      </c>
      <c r="T33" s="328"/>
      <c r="U33" s="328"/>
      <c r="V33" s="328"/>
      <c r="W33" s="328"/>
      <c r="X33" s="328"/>
      <c r="Y33" s="328"/>
      <c r="Z33" s="328"/>
      <c r="AA33" s="328"/>
      <c r="AB33" s="328"/>
      <c r="AC33" s="328"/>
      <c r="AD33" s="328"/>
      <c r="AE33" s="328"/>
      <c r="AF33" s="328"/>
      <c r="AG33" s="328"/>
      <c r="AH33" s="328"/>
      <c r="AI33" s="328"/>
      <c r="AJ33" s="328"/>
      <c r="AK33" s="328"/>
      <c r="AL33" s="404">
        <f>44700000+5100000+7230000</f>
        <v>57030000</v>
      </c>
      <c r="AM33" s="404">
        <v>57030000</v>
      </c>
      <c r="AN33" s="404">
        <v>36900000</v>
      </c>
      <c r="AO33" s="328"/>
      <c r="AP33" s="328"/>
      <c r="AQ33" s="328"/>
      <c r="AR33" s="328"/>
      <c r="AS33" s="328"/>
      <c r="AT33" s="328"/>
      <c r="AU33" s="328">
        <f t="shared" si="0"/>
        <v>57030000</v>
      </c>
      <c r="AV33" s="328">
        <f t="shared" si="1"/>
        <v>57030000</v>
      </c>
      <c r="AW33" s="328">
        <f t="shared" si="2"/>
        <v>36900000</v>
      </c>
      <c r="AX33" s="402" t="s">
        <v>62</v>
      </c>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row>
    <row r="34" spans="1:129" s="331" customFormat="1" ht="60" customHeight="1" x14ac:dyDescent="0.25">
      <c r="A34" s="380">
        <v>305</v>
      </c>
      <c r="B34" s="397" t="s">
        <v>58</v>
      </c>
      <c r="C34" s="380">
        <v>4</v>
      </c>
      <c r="D34" s="397" t="s">
        <v>36</v>
      </c>
      <c r="E34" s="380">
        <v>4</v>
      </c>
      <c r="F34" s="376" t="s">
        <v>21</v>
      </c>
      <c r="G34" s="380">
        <v>45</v>
      </c>
      <c r="H34" s="397" t="s">
        <v>22</v>
      </c>
      <c r="I34" s="380">
        <v>4599</v>
      </c>
      <c r="J34" s="397" t="s">
        <v>23</v>
      </c>
      <c r="K34" s="380">
        <v>4599018</v>
      </c>
      <c r="L34" s="397" t="s">
        <v>93</v>
      </c>
      <c r="M34" s="380">
        <v>459901800</v>
      </c>
      <c r="N34" s="397" t="s">
        <v>94</v>
      </c>
      <c r="O34" s="380" t="s">
        <v>67</v>
      </c>
      <c r="P34" s="380">
        <v>1</v>
      </c>
      <c r="Q34" s="405">
        <v>1</v>
      </c>
      <c r="R34" s="380">
        <v>2023003630007</v>
      </c>
      <c r="S34" s="397" t="s">
        <v>95</v>
      </c>
      <c r="T34" s="381"/>
      <c r="U34" s="381"/>
      <c r="V34" s="381"/>
      <c r="W34" s="381"/>
      <c r="X34" s="381"/>
      <c r="Y34" s="381"/>
      <c r="Z34" s="381"/>
      <c r="AA34" s="381"/>
      <c r="AB34" s="381"/>
      <c r="AC34" s="381"/>
      <c r="AD34" s="381"/>
      <c r="AE34" s="381"/>
      <c r="AF34" s="381"/>
      <c r="AG34" s="381"/>
      <c r="AH34" s="381"/>
      <c r="AI34" s="381"/>
      <c r="AJ34" s="381"/>
      <c r="AK34" s="381"/>
      <c r="AL34" s="400">
        <f>250000000+20000000-14768793</f>
        <v>255231207</v>
      </c>
      <c r="AM34" s="118">
        <v>255231207</v>
      </c>
      <c r="AN34" s="118">
        <v>255231207</v>
      </c>
      <c r="AO34" s="381"/>
      <c r="AP34" s="381"/>
      <c r="AQ34" s="381"/>
      <c r="AR34" s="381"/>
      <c r="AS34" s="381"/>
      <c r="AT34" s="381"/>
      <c r="AU34" s="381">
        <f t="shared" si="0"/>
        <v>255231207</v>
      </c>
      <c r="AV34" s="381">
        <f t="shared" si="1"/>
        <v>255231207</v>
      </c>
      <c r="AW34" s="381">
        <f t="shared" si="2"/>
        <v>255231207</v>
      </c>
      <c r="AX34" s="397" t="s">
        <v>62</v>
      </c>
    </row>
    <row r="35" spans="1:129" s="331" customFormat="1" ht="80.25" customHeight="1" x14ac:dyDescent="0.25">
      <c r="A35" s="257">
        <v>307</v>
      </c>
      <c r="B35" s="376" t="s">
        <v>96</v>
      </c>
      <c r="C35" s="257">
        <v>4</v>
      </c>
      <c r="D35" s="376" t="s">
        <v>36</v>
      </c>
      <c r="E35" s="257">
        <v>4</v>
      </c>
      <c r="F35" s="376" t="s">
        <v>21</v>
      </c>
      <c r="G35" s="257">
        <v>45</v>
      </c>
      <c r="H35" s="376" t="s">
        <v>22</v>
      </c>
      <c r="I35" s="257">
        <v>4599</v>
      </c>
      <c r="J35" s="376" t="s">
        <v>23</v>
      </c>
      <c r="K35" s="257">
        <v>4599002</v>
      </c>
      <c r="L35" s="414" t="s">
        <v>37</v>
      </c>
      <c r="M35" s="257">
        <v>459900201</v>
      </c>
      <c r="N35" s="388" t="s">
        <v>97</v>
      </c>
      <c r="O35" s="378" t="s">
        <v>26</v>
      </c>
      <c r="P35" s="342">
        <v>1</v>
      </c>
      <c r="Q35" s="415">
        <v>0.68</v>
      </c>
      <c r="R35" s="380">
        <v>2020003630048</v>
      </c>
      <c r="S35" s="376" t="s">
        <v>98</v>
      </c>
      <c r="T35" s="416"/>
      <c r="U35" s="416"/>
      <c r="V35" s="416"/>
      <c r="W35" s="416"/>
      <c r="X35" s="416"/>
      <c r="Y35" s="416"/>
      <c r="Z35" s="416"/>
      <c r="AA35" s="416"/>
      <c r="AB35" s="416"/>
      <c r="AC35" s="416"/>
      <c r="AD35" s="416"/>
      <c r="AE35" s="416"/>
      <c r="AF35" s="416"/>
      <c r="AG35" s="416"/>
      <c r="AH35" s="416"/>
      <c r="AI35" s="416"/>
      <c r="AJ35" s="416"/>
      <c r="AK35" s="416"/>
      <c r="AL35" s="400">
        <f>1509256833.35+1000000000+450000000+150000000-1606192764.35</f>
        <v>1503064069</v>
      </c>
      <c r="AM35" s="400">
        <v>1503064069</v>
      </c>
      <c r="AN35" s="400">
        <v>1144494105.6100001</v>
      </c>
      <c r="AO35" s="400">
        <f>350000000-350000000</f>
        <v>0</v>
      </c>
      <c r="AP35" s="400"/>
      <c r="AQ35" s="400"/>
      <c r="AR35" s="381">
        <f>500000000-191970000</f>
        <v>308030000</v>
      </c>
      <c r="AS35" s="381">
        <v>308030000</v>
      </c>
      <c r="AT35" s="381">
        <v>304030000</v>
      </c>
      <c r="AU35" s="381">
        <f t="shared" si="0"/>
        <v>1811094069</v>
      </c>
      <c r="AV35" s="381">
        <f t="shared" si="1"/>
        <v>1811094069</v>
      </c>
      <c r="AW35" s="381">
        <f t="shared" si="2"/>
        <v>1448524105.6100001</v>
      </c>
      <c r="AX35" s="392" t="s">
        <v>99</v>
      </c>
    </row>
    <row r="36" spans="1:129" s="331" customFormat="1" ht="80.25" customHeight="1" x14ac:dyDescent="0.25">
      <c r="A36" s="262">
        <v>307</v>
      </c>
      <c r="B36" s="376" t="s">
        <v>96</v>
      </c>
      <c r="C36" s="257">
        <v>4</v>
      </c>
      <c r="D36" s="376" t="s">
        <v>36</v>
      </c>
      <c r="E36" s="257">
        <v>4</v>
      </c>
      <c r="F36" s="376" t="s">
        <v>21</v>
      </c>
      <c r="G36" s="257">
        <v>45</v>
      </c>
      <c r="H36" s="376" t="s">
        <v>22</v>
      </c>
      <c r="I36" s="257">
        <v>4599</v>
      </c>
      <c r="J36" s="376" t="s">
        <v>23</v>
      </c>
      <c r="K36" s="257">
        <v>4599002</v>
      </c>
      <c r="L36" s="414" t="s">
        <v>41</v>
      </c>
      <c r="M36" s="262">
        <v>459900200</v>
      </c>
      <c r="N36" s="388" t="s">
        <v>100</v>
      </c>
      <c r="O36" s="378" t="s">
        <v>26</v>
      </c>
      <c r="P36" s="342">
        <v>1</v>
      </c>
      <c r="Q36" s="415">
        <v>0.95</v>
      </c>
      <c r="R36" s="380">
        <v>2020003630049</v>
      </c>
      <c r="S36" s="376" t="s">
        <v>101</v>
      </c>
      <c r="T36" s="381"/>
      <c r="U36" s="381"/>
      <c r="V36" s="381"/>
      <c r="W36" s="381"/>
      <c r="X36" s="381"/>
      <c r="Y36" s="381"/>
      <c r="Z36" s="381"/>
      <c r="AA36" s="381"/>
      <c r="AB36" s="381"/>
      <c r="AC36" s="381"/>
      <c r="AD36" s="381"/>
      <c r="AE36" s="381"/>
      <c r="AF36" s="381"/>
      <c r="AG36" s="381"/>
      <c r="AH36" s="381"/>
      <c r="AI36" s="381"/>
      <c r="AJ36" s="381"/>
      <c r="AK36" s="381"/>
      <c r="AL36" s="400">
        <f>800000000-500000000+350000000+496285800-335995800</f>
        <v>810290000</v>
      </c>
      <c r="AM36" s="400">
        <v>810290000</v>
      </c>
      <c r="AN36" s="400">
        <v>810290000</v>
      </c>
      <c r="AO36" s="381"/>
      <c r="AP36" s="381"/>
      <c r="AQ36" s="381"/>
      <c r="AR36" s="381"/>
      <c r="AS36" s="381"/>
      <c r="AT36" s="381"/>
      <c r="AU36" s="381">
        <f t="shared" si="0"/>
        <v>810290000</v>
      </c>
      <c r="AV36" s="381">
        <f t="shared" si="1"/>
        <v>810290000</v>
      </c>
      <c r="AW36" s="381">
        <f t="shared" si="2"/>
        <v>810290000</v>
      </c>
      <c r="AX36" s="392" t="s">
        <v>99</v>
      </c>
    </row>
    <row r="37" spans="1:129" s="332" customFormat="1" ht="80.25" customHeight="1" x14ac:dyDescent="0.25">
      <c r="A37" s="273">
        <v>307</v>
      </c>
      <c r="B37" s="325" t="s">
        <v>96</v>
      </c>
      <c r="C37" s="281"/>
      <c r="D37" s="386"/>
      <c r="E37" s="281">
        <v>4</v>
      </c>
      <c r="F37" s="386" t="s">
        <v>102</v>
      </c>
      <c r="G37" s="343" t="s">
        <v>29</v>
      </c>
      <c r="H37" s="386" t="s">
        <v>22</v>
      </c>
      <c r="I37" s="259">
        <v>4599</v>
      </c>
      <c r="J37" s="386" t="s">
        <v>32</v>
      </c>
      <c r="K37" s="281">
        <v>4599002</v>
      </c>
      <c r="L37" s="385" t="s">
        <v>41</v>
      </c>
      <c r="M37" s="273">
        <v>459900200</v>
      </c>
      <c r="N37" s="333" t="s">
        <v>100</v>
      </c>
      <c r="O37" s="343" t="s">
        <v>26</v>
      </c>
      <c r="P37" s="390">
        <v>1</v>
      </c>
      <c r="Q37" s="391">
        <v>0.8</v>
      </c>
      <c r="R37" s="281">
        <v>2024003630014</v>
      </c>
      <c r="S37" s="325" t="s">
        <v>98</v>
      </c>
      <c r="T37" s="328"/>
      <c r="U37" s="328"/>
      <c r="V37" s="328"/>
      <c r="W37" s="328"/>
      <c r="X37" s="328"/>
      <c r="Y37" s="328"/>
      <c r="Z37" s="328"/>
      <c r="AA37" s="328"/>
      <c r="AB37" s="328"/>
      <c r="AC37" s="328"/>
      <c r="AD37" s="328"/>
      <c r="AE37" s="328"/>
      <c r="AF37" s="328"/>
      <c r="AG37" s="328"/>
      <c r="AH37" s="328"/>
      <c r="AI37" s="328"/>
      <c r="AJ37" s="328"/>
      <c r="AK37" s="328"/>
      <c r="AL37" s="404">
        <v>20000000</v>
      </c>
      <c r="AM37" s="404"/>
      <c r="AN37" s="404"/>
      <c r="AO37" s="328"/>
      <c r="AP37" s="328"/>
      <c r="AQ37" s="328"/>
      <c r="AR37" s="328"/>
      <c r="AS37" s="328"/>
      <c r="AT37" s="328"/>
      <c r="AU37" s="328">
        <f t="shared" si="0"/>
        <v>20000000</v>
      </c>
      <c r="AV37" s="328">
        <f t="shared" si="1"/>
        <v>0</v>
      </c>
      <c r="AW37" s="328">
        <f t="shared" si="2"/>
        <v>0</v>
      </c>
      <c r="AX37" s="385" t="s">
        <v>99</v>
      </c>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row>
    <row r="38" spans="1:129" s="332" customFormat="1" ht="80.25" customHeight="1" x14ac:dyDescent="0.25">
      <c r="A38" s="277">
        <v>307</v>
      </c>
      <c r="B38" s="325" t="s">
        <v>96</v>
      </c>
      <c r="C38" s="259"/>
      <c r="D38" s="386"/>
      <c r="E38" s="259">
        <v>4</v>
      </c>
      <c r="F38" s="386" t="s">
        <v>102</v>
      </c>
      <c r="G38" s="343" t="s">
        <v>29</v>
      </c>
      <c r="H38" s="386" t="s">
        <v>22</v>
      </c>
      <c r="I38" s="259">
        <v>4599</v>
      </c>
      <c r="J38" s="386" t="s">
        <v>32</v>
      </c>
      <c r="K38" s="259">
        <v>4599002</v>
      </c>
      <c r="L38" s="385" t="s">
        <v>41</v>
      </c>
      <c r="M38" s="277">
        <v>459900201</v>
      </c>
      <c r="N38" s="417" t="s">
        <v>103</v>
      </c>
      <c r="O38" s="282" t="s">
        <v>26</v>
      </c>
      <c r="P38" s="340">
        <v>1</v>
      </c>
      <c r="Q38" s="415">
        <v>0.68</v>
      </c>
      <c r="R38" s="281">
        <v>2024003630014</v>
      </c>
      <c r="S38" s="325" t="s">
        <v>98</v>
      </c>
      <c r="T38" s="328"/>
      <c r="U38" s="328"/>
      <c r="V38" s="328"/>
      <c r="W38" s="328"/>
      <c r="X38" s="328"/>
      <c r="Y38" s="328"/>
      <c r="Z38" s="328"/>
      <c r="AA38" s="328"/>
      <c r="AB38" s="328"/>
      <c r="AC38" s="328"/>
      <c r="AD38" s="328"/>
      <c r="AE38" s="328"/>
      <c r="AF38" s="328"/>
      <c r="AG38" s="328"/>
      <c r="AH38" s="328"/>
      <c r="AI38" s="328"/>
      <c r="AJ38" s="328"/>
      <c r="AK38" s="328"/>
      <c r="AL38" s="404">
        <f>1606192764.35+335995800-20000000-50000000</f>
        <v>1872188564.3499999</v>
      </c>
      <c r="AM38" s="404">
        <v>1081471333.29</v>
      </c>
      <c r="AN38" s="404">
        <v>704503333.33000004</v>
      </c>
      <c r="AO38" s="328">
        <v>350000000</v>
      </c>
      <c r="AP38" s="328">
        <v>316629999.98000002</v>
      </c>
      <c r="AQ38" s="328">
        <v>132895666.66</v>
      </c>
      <c r="AR38" s="328">
        <f>191970000+39363640.05</f>
        <v>231333640.05000001</v>
      </c>
      <c r="AS38" s="328">
        <v>167362733.31</v>
      </c>
      <c r="AT38" s="328">
        <v>72504880</v>
      </c>
      <c r="AU38" s="328">
        <f t="shared" si="0"/>
        <v>2453522204.4000001</v>
      </c>
      <c r="AV38" s="328">
        <f t="shared" si="1"/>
        <v>1565464066.5799999</v>
      </c>
      <c r="AW38" s="328">
        <f t="shared" si="2"/>
        <v>909903879.99000001</v>
      </c>
      <c r="AX38" s="385" t="s">
        <v>99</v>
      </c>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row>
    <row r="39" spans="1:129" s="331" customFormat="1" ht="80.25" customHeight="1" x14ac:dyDescent="0.25">
      <c r="A39" s="257">
        <v>308</v>
      </c>
      <c r="B39" s="376" t="s">
        <v>104</v>
      </c>
      <c r="C39" s="257">
        <v>1</v>
      </c>
      <c r="D39" s="376" t="s">
        <v>105</v>
      </c>
      <c r="E39" s="257">
        <v>4</v>
      </c>
      <c r="F39" s="376" t="s">
        <v>21</v>
      </c>
      <c r="G39" s="257">
        <v>12</v>
      </c>
      <c r="H39" s="376" t="s">
        <v>106</v>
      </c>
      <c r="I39" s="257">
        <v>1202</v>
      </c>
      <c r="J39" s="376" t="s">
        <v>107</v>
      </c>
      <c r="K39" s="257">
        <v>1202019</v>
      </c>
      <c r="L39" s="418" t="s">
        <v>108</v>
      </c>
      <c r="M39" s="256">
        <v>120201900</v>
      </c>
      <c r="N39" s="418" t="s">
        <v>109</v>
      </c>
      <c r="O39" s="378" t="s">
        <v>67</v>
      </c>
      <c r="P39" s="280">
        <v>2</v>
      </c>
      <c r="Q39" s="419">
        <v>3</v>
      </c>
      <c r="R39" s="380">
        <v>2020003630017</v>
      </c>
      <c r="S39" s="376" t="s">
        <v>110</v>
      </c>
      <c r="T39" s="381"/>
      <c r="U39" s="381"/>
      <c r="V39" s="381"/>
      <c r="W39" s="381"/>
      <c r="X39" s="381"/>
      <c r="Y39" s="381"/>
      <c r="Z39" s="381"/>
      <c r="AA39" s="381"/>
      <c r="AB39" s="381"/>
      <c r="AC39" s="381"/>
      <c r="AD39" s="381"/>
      <c r="AE39" s="381"/>
      <c r="AF39" s="381"/>
      <c r="AG39" s="381"/>
      <c r="AH39" s="381"/>
      <c r="AI39" s="381"/>
      <c r="AJ39" s="381"/>
      <c r="AK39" s="381"/>
      <c r="AL39" s="400">
        <f>100000000-52200000</f>
        <v>47800000</v>
      </c>
      <c r="AM39" s="400">
        <v>46350000</v>
      </c>
      <c r="AN39" s="400">
        <v>34563605.399999999</v>
      </c>
      <c r="AO39" s="381"/>
      <c r="AP39" s="381"/>
      <c r="AQ39" s="381"/>
      <c r="AR39" s="381"/>
      <c r="AS39" s="381"/>
      <c r="AT39" s="381"/>
      <c r="AU39" s="381">
        <f t="shared" si="0"/>
        <v>47800000</v>
      </c>
      <c r="AV39" s="381">
        <f t="shared" si="1"/>
        <v>46350000</v>
      </c>
      <c r="AW39" s="381">
        <f t="shared" si="2"/>
        <v>34563605.399999999</v>
      </c>
      <c r="AX39" s="392" t="s">
        <v>111</v>
      </c>
    </row>
    <row r="40" spans="1:129" s="331" customFormat="1" ht="80.25" customHeight="1" x14ac:dyDescent="0.25">
      <c r="A40" s="262">
        <v>308</v>
      </c>
      <c r="B40" s="376" t="s">
        <v>104</v>
      </c>
      <c r="C40" s="257">
        <v>1</v>
      </c>
      <c r="D40" s="376" t="s">
        <v>105</v>
      </c>
      <c r="E40" s="257">
        <v>1</v>
      </c>
      <c r="F40" s="376" t="s">
        <v>112</v>
      </c>
      <c r="G40" s="257">
        <v>22</v>
      </c>
      <c r="H40" s="376" t="s">
        <v>113</v>
      </c>
      <c r="I40" s="257">
        <v>2201</v>
      </c>
      <c r="J40" s="376" t="s">
        <v>114</v>
      </c>
      <c r="K40" s="257">
        <v>2201062</v>
      </c>
      <c r="L40" s="376" t="s">
        <v>115</v>
      </c>
      <c r="M40" s="262">
        <v>220106200</v>
      </c>
      <c r="N40" s="388" t="s">
        <v>116</v>
      </c>
      <c r="O40" s="378" t="s">
        <v>67</v>
      </c>
      <c r="P40" s="280">
        <v>15</v>
      </c>
      <c r="Q40" s="419">
        <v>50</v>
      </c>
      <c r="R40" s="380">
        <v>2020003630050</v>
      </c>
      <c r="S40" s="376" t="s">
        <v>117</v>
      </c>
      <c r="T40" s="381">
        <f>3539723000+516575548.97-2038988242.97</f>
        <v>2017310306.0000002</v>
      </c>
      <c r="U40" s="381">
        <v>2017310306</v>
      </c>
      <c r="V40" s="381">
        <v>1776045746.22</v>
      </c>
      <c r="W40" s="381"/>
      <c r="X40" s="381"/>
      <c r="Y40" s="381"/>
      <c r="Z40" s="381"/>
      <c r="AA40" s="381"/>
      <c r="AB40" s="381"/>
      <c r="AC40" s="381"/>
      <c r="AD40" s="381"/>
      <c r="AE40" s="381"/>
      <c r="AF40" s="381"/>
      <c r="AG40" s="381"/>
      <c r="AH40" s="381"/>
      <c r="AI40" s="381"/>
      <c r="AJ40" s="381"/>
      <c r="AK40" s="381"/>
      <c r="AL40" s="400">
        <f>50000000-50000000</f>
        <v>0</v>
      </c>
      <c r="AM40" s="400"/>
      <c r="AN40" s="400"/>
      <c r="AO40" s="381"/>
      <c r="AP40" s="381"/>
      <c r="AQ40" s="381"/>
      <c r="AR40" s="381"/>
      <c r="AS40" s="381"/>
      <c r="AT40" s="381"/>
      <c r="AU40" s="381">
        <f t="shared" si="0"/>
        <v>2017310306.0000002</v>
      </c>
      <c r="AV40" s="381">
        <f t="shared" si="1"/>
        <v>2017310306</v>
      </c>
      <c r="AW40" s="381">
        <f t="shared" si="2"/>
        <v>1776045746.22</v>
      </c>
      <c r="AX40" s="392" t="s">
        <v>111</v>
      </c>
    </row>
    <row r="41" spans="1:129" s="332" customFormat="1" ht="80.25" customHeight="1" x14ac:dyDescent="0.25">
      <c r="A41" s="259">
        <v>308</v>
      </c>
      <c r="B41" s="325" t="s">
        <v>104</v>
      </c>
      <c r="C41" s="271"/>
      <c r="D41" s="325"/>
      <c r="E41" s="271">
        <v>1</v>
      </c>
      <c r="F41" s="325" t="s">
        <v>112</v>
      </c>
      <c r="G41" s="305">
        <v>22</v>
      </c>
      <c r="H41" s="420" t="s">
        <v>113</v>
      </c>
      <c r="I41" s="259">
        <v>2201</v>
      </c>
      <c r="J41" s="325" t="s">
        <v>114</v>
      </c>
      <c r="K41" s="282" t="s">
        <v>118</v>
      </c>
      <c r="L41" s="385" t="s">
        <v>119</v>
      </c>
      <c r="M41" s="396" t="s">
        <v>120</v>
      </c>
      <c r="N41" s="385" t="s">
        <v>121</v>
      </c>
      <c r="O41" s="282" t="s">
        <v>67</v>
      </c>
      <c r="P41" s="272">
        <v>30</v>
      </c>
      <c r="Q41" s="419">
        <v>0</v>
      </c>
      <c r="R41" s="281">
        <v>2024003630036</v>
      </c>
      <c r="S41" s="325" t="s">
        <v>122</v>
      </c>
      <c r="T41" s="328">
        <v>1783399564</v>
      </c>
      <c r="U41" s="328">
        <v>328423335.67000002</v>
      </c>
      <c r="V41" s="328">
        <v>233300000</v>
      </c>
      <c r="W41" s="328"/>
      <c r="X41" s="328"/>
      <c r="Y41" s="328"/>
      <c r="Z41" s="328"/>
      <c r="AA41" s="328"/>
      <c r="AB41" s="328"/>
      <c r="AC41" s="328"/>
      <c r="AD41" s="328"/>
      <c r="AE41" s="328"/>
      <c r="AF41" s="328"/>
      <c r="AG41" s="328"/>
      <c r="AH41" s="328"/>
      <c r="AI41" s="328"/>
      <c r="AJ41" s="328"/>
      <c r="AK41" s="328"/>
      <c r="AL41" s="404"/>
      <c r="AM41" s="404"/>
      <c r="AN41" s="404"/>
      <c r="AO41" s="328"/>
      <c r="AP41" s="328"/>
      <c r="AQ41" s="328"/>
      <c r="AR41" s="328"/>
      <c r="AS41" s="328"/>
      <c r="AT41" s="328"/>
      <c r="AU41" s="328">
        <f t="shared" si="0"/>
        <v>1783399564</v>
      </c>
      <c r="AV41" s="328">
        <f t="shared" si="1"/>
        <v>328423335.67000002</v>
      </c>
      <c r="AW41" s="328">
        <f t="shared" si="2"/>
        <v>233300000</v>
      </c>
      <c r="AX41" s="385" t="s">
        <v>111</v>
      </c>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row>
    <row r="42" spans="1:129" s="332" customFormat="1" ht="80.25" customHeight="1" x14ac:dyDescent="0.25">
      <c r="A42" s="262">
        <v>308</v>
      </c>
      <c r="B42" s="325" t="s">
        <v>104</v>
      </c>
      <c r="C42" s="271"/>
      <c r="D42" s="325"/>
      <c r="E42" s="271">
        <v>1</v>
      </c>
      <c r="F42" s="325" t="s">
        <v>112</v>
      </c>
      <c r="G42" s="305">
        <v>22</v>
      </c>
      <c r="H42" s="420" t="s">
        <v>113</v>
      </c>
      <c r="I42" s="259">
        <v>2201</v>
      </c>
      <c r="J42" s="325" t="s">
        <v>114</v>
      </c>
      <c r="K42" s="281">
        <v>2201062</v>
      </c>
      <c r="L42" s="333" t="s">
        <v>115</v>
      </c>
      <c r="M42" s="421">
        <v>220106200</v>
      </c>
      <c r="N42" s="333" t="s">
        <v>116</v>
      </c>
      <c r="O42" s="282" t="s">
        <v>67</v>
      </c>
      <c r="P42" s="272">
        <v>40</v>
      </c>
      <c r="Q42" s="419">
        <v>2</v>
      </c>
      <c r="R42" s="281">
        <v>2024003630036</v>
      </c>
      <c r="S42" s="325" t="s">
        <v>122</v>
      </c>
      <c r="T42" s="328">
        <v>346451943.97000003</v>
      </c>
      <c r="U42" s="328">
        <v>169270000</v>
      </c>
      <c r="V42" s="328">
        <v>144700000</v>
      </c>
      <c r="W42" s="328"/>
      <c r="X42" s="328"/>
      <c r="Y42" s="328"/>
      <c r="Z42" s="328"/>
      <c r="AA42" s="328"/>
      <c r="AB42" s="328"/>
      <c r="AC42" s="328"/>
      <c r="AD42" s="328"/>
      <c r="AE42" s="328"/>
      <c r="AF42" s="328"/>
      <c r="AG42" s="328"/>
      <c r="AH42" s="328"/>
      <c r="AI42" s="328"/>
      <c r="AJ42" s="328"/>
      <c r="AK42" s="328"/>
      <c r="AL42" s="404"/>
      <c r="AM42" s="404"/>
      <c r="AN42" s="404"/>
      <c r="AO42" s="328"/>
      <c r="AP42" s="328"/>
      <c r="AQ42" s="328"/>
      <c r="AR42" s="328"/>
      <c r="AS42" s="328"/>
      <c r="AT42" s="328"/>
      <c r="AU42" s="328">
        <f t="shared" si="0"/>
        <v>346451943.97000003</v>
      </c>
      <c r="AV42" s="328">
        <f t="shared" si="1"/>
        <v>169270000</v>
      </c>
      <c r="AW42" s="328">
        <f t="shared" si="2"/>
        <v>144700000</v>
      </c>
      <c r="AX42" s="385" t="s">
        <v>111</v>
      </c>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row>
    <row r="43" spans="1:129" s="331" customFormat="1" ht="80.25" customHeight="1" x14ac:dyDescent="0.25">
      <c r="A43" s="257">
        <v>308</v>
      </c>
      <c r="B43" s="376" t="s">
        <v>104</v>
      </c>
      <c r="C43" s="257">
        <v>1</v>
      </c>
      <c r="D43" s="376" t="s">
        <v>105</v>
      </c>
      <c r="E43" s="257">
        <v>1</v>
      </c>
      <c r="F43" s="376" t="s">
        <v>112</v>
      </c>
      <c r="G43" s="257">
        <v>33</v>
      </c>
      <c r="H43" s="376" t="s">
        <v>123</v>
      </c>
      <c r="I43" s="257">
        <v>3301</v>
      </c>
      <c r="J43" s="376" t="s">
        <v>124</v>
      </c>
      <c r="K43" s="257">
        <v>3301068</v>
      </c>
      <c r="L43" s="376" t="s">
        <v>125</v>
      </c>
      <c r="M43" s="256" t="s">
        <v>126</v>
      </c>
      <c r="N43" s="418" t="s">
        <v>127</v>
      </c>
      <c r="O43" s="378" t="s">
        <v>67</v>
      </c>
      <c r="P43" s="280">
        <v>3</v>
      </c>
      <c r="Q43" s="299">
        <v>3</v>
      </c>
      <c r="R43" s="422">
        <v>2021003630001</v>
      </c>
      <c r="S43" s="392" t="s">
        <v>128</v>
      </c>
      <c r="T43" s="381"/>
      <c r="U43" s="381"/>
      <c r="V43" s="381"/>
      <c r="W43" s="381"/>
      <c r="X43" s="381"/>
      <c r="Y43" s="381"/>
      <c r="Z43" s="381"/>
      <c r="AA43" s="381"/>
      <c r="AB43" s="381"/>
      <c r="AC43" s="381"/>
      <c r="AD43" s="381"/>
      <c r="AE43" s="381"/>
      <c r="AF43" s="381"/>
      <c r="AG43" s="381"/>
      <c r="AH43" s="381"/>
      <c r="AI43" s="381"/>
      <c r="AJ43" s="381"/>
      <c r="AK43" s="381"/>
      <c r="AL43" s="400">
        <f>100000000-52200000</f>
        <v>47800000</v>
      </c>
      <c r="AM43" s="400">
        <v>46950000</v>
      </c>
      <c r="AN43" s="400">
        <v>41234976.799999997</v>
      </c>
      <c r="AO43" s="381"/>
      <c r="AP43" s="381"/>
      <c r="AQ43" s="381"/>
      <c r="AR43" s="381"/>
      <c r="AS43" s="381"/>
      <c r="AT43" s="381"/>
      <c r="AU43" s="381">
        <f t="shared" si="0"/>
        <v>47800000</v>
      </c>
      <c r="AV43" s="381">
        <f t="shared" si="1"/>
        <v>46950000</v>
      </c>
      <c r="AW43" s="381">
        <f t="shared" si="2"/>
        <v>41234976.799999997</v>
      </c>
      <c r="AX43" s="392" t="s">
        <v>111</v>
      </c>
    </row>
    <row r="44" spans="1:129" s="331" customFormat="1" ht="80.25" customHeight="1" x14ac:dyDescent="0.25">
      <c r="A44" s="257">
        <v>308</v>
      </c>
      <c r="B44" s="392" t="s">
        <v>104</v>
      </c>
      <c r="C44" s="257">
        <v>1</v>
      </c>
      <c r="D44" s="376" t="s">
        <v>105</v>
      </c>
      <c r="E44" s="257">
        <v>1</v>
      </c>
      <c r="F44" s="376" t="s">
        <v>112</v>
      </c>
      <c r="G44" s="257">
        <v>41</v>
      </c>
      <c r="H44" s="376" t="s">
        <v>129</v>
      </c>
      <c r="I44" s="257">
        <v>4104</v>
      </c>
      <c r="J44" s="392" t="s">
        <v>130</v>
      </c>
      <c r="K44" s="257">
        <v>4104036</v>
      </c>
      <c r="L44" s="392" t="s">
        <v>131</v>
      </c>
      <c r="M44" s="280">
        <v>410403600</v>
      </c>
      <c r="N44" s="418" t="s">
        <v>132</v>
      </c>
      <c r="O44" s="378" t="s">
        <v>67</v>
      </c>
      <c r="P44" s="280">
        <v>1</v>
      </c>
      <c r="Q44" s="419">
        <v>0.26</v>
      </c>
      <c r="R44" s="380">
        <v>2022003630007</v>
      </c>
      <c r="S44" s="392" t="s">
        <v>133</v>
      </c>
      <c r="T44" s="381"/>
      <c r="U44" s="381"/>
      <c r="V44" s="381"/>
      <c r="W44" s="381"/>
      <c r="X44" s="381"/>
      <c r="Y44" s="381"/>
      <c r="Z44" s="381"/>
      <c r="AA44" s="381"/>
      <c r="AB44" s="381"/>
      <c r="AC44" s="381"/>
      <c r="AD44" s="381"/>
      <c r="AE44" s="381"/>
      <c r="AF44" s="381"/>
      <c r="AG44" s="381"/>
      <c r="AH44" s="381"/>
      <c r="AI44" s="381"/>
      <c r="AJ44" s="381"/>
      <c r="AK44" s="381"/>
      <c r="AL44" s="400">
        <f>1900000000-400000000</f>
        <v>1500000000</v>
      </c>
      <c r="AM44" s="400">
        <v>1500000000</v>
      </c>
      <c r="AN44" s="400">
        <v>0</v>
      </c>
      <c r="AO44" s="400"/>
      <c r="AP44" s="400"/>
      <c r="AQ44" s="400"/>
      <c r="AR44" s="423"/>
      <c r="AS44" s="423"/>
      <c r="AT44" s="423"/>
      <c r="AU44" s="381">
        <f t="shared" si="0"/>
        <v>1500000000</v>
      </c>
      <c r="AV44" s="381">
        <f t="shared" si="1"/>
        <v>1500000000</v>
      </c>
      <c r="AW44" s="381">
        <f t="shared" si="2"/>
        <v>0</v>
      </c>
      <c r="AX44" s="392" t="s">
        <v>111</v>
      </c>
    </row>
    <row r="45" spans="1:129" s="331" customFormat="1" ht="80.25" customHeight="1" x14ac:dyDescent="0.25">
      <c r="A45" s="262">
        <v>308</v>
      </c>
      <c r="B45" s="376" t="s">
        <v>104</v>
      </c>
      <c r="C45" s="257">
        <v>1</v>
      </c>
      <c r="D45" s="376" t="s">
        <v>105</v>
      </c>
      <c r="E45" s="257">
        <v>1</v>
      </c>
      <c r="F45" s="376" t="s">
        <v>112</v>
      </c>
      <c r="G45" s="257">
        <v>43</v>
      </c>
      <c r="H45" s="376" t="s">
        <v>134</v>
      </c>
      <c r="I45" s="257">
        <v>4301</v>
      </c>
      <c r="J45" s="376" t="s">
        <v>135</v>
      </c>
      <c r="K45" s="257">
        <v>4301004</v>
      </c>
      <c r="L45" s="418" t="s">
        <v>136</v>
      </c>
      <c r="M45" s="262">
        <v>430100401</v>
      </c>
      <c r="N45" s="424" t="s">
        <v>137</v>
      </c>
      <c r="O45" s="378" t="s">
        <v>67</v>
      </c>
      <c r="P45" s="280">
        <v>3</v>
      </c>
      <c r="Q45" s="280">
        <v>7</v>
      </c>
      <c r="R45" s="380">
        <v>2020003630052</v>
      </c>
      <c r="S45" s="392" t="s">
        <v>138</v>
      </c>
      <c r="T45" s="381">
        <f>2200000000+3485000000-4252123650</f>
        <v>1432876350</v>
      </c>
      <c r="U45" s="381">
        <v>1432876350</v>
      </c>
      <c r="V45" s="381">
        <v>1294620275.24</v>
      </c>
      <c r="W45" s="381"/>
      <c r="X45" s="381"/>
      <c r="Y45" s="381"/>
      <c r="Z45" s="381"/>
      <c r="AA45" s="381"/>
      <c r="AB45" s="381"/>
      <c r="AC45" s="381"/>
      <c r="AD45" s="381"/>
      <c r="AE45" s="381"/>
      <c r="AF45" s="381"/>
      <c r="AG45" s="381"/>
      <c r="AH45" s="381"/>
      <c r="AI45" s="381"/>
      <c r="AJ45" s="381"/>
      <c r="AK45" s="381"/>
      <c r="AL45" s="400">
        <f>50000000-50000000</f>
        <v>0</v>
      </c>
      <c r="AM45" s="400"/>
      <c r="AN45" s="400"/>
      <c r="AO45" s="381"/>
      <c r="AP45" s="381"/>
      <c r="AQ45" s="381"/>
      <c r="AR45" s="381"/>
      <c r="AS45" s="381"/>
      <c r="AT45" s="381"/>
      <c r="AU45" s="381">
        <f t="shared" si="0"/>
        <v>1432876350</v>
      </c>
      <c r="AV45" s="381">
        <f t="shared" si="1"/>
        <v>1432876350</v>
      </c>
      <c r="AW45" s="381">
        <f t="shared" si="2"/>
        <v>1294620275.24</v>
      </c>
      <c r="AX45" s="392" t="s">
        <v>111</v>
      </c>
    </row>
    <row r="46" spans="1:129" s="332" customFormat="1" ht="80.25" customHeight="1" x14ac:dyDescent="0.25">
      <c r="A46" s="273">
        <v>308</v>
      </c>
      <c r="B46" s="325" t="s">
        <v>104</v>
      </c>
      <c r="C46" s="271"/>
      <c r="D46" s="325"/>
      <c r="E46" s="271">
        <v>1</v>
      </c>
      <c r="F46" s="325" t="s">
        <v>112</v>
      </c>
      <c r="G46" s="282" t="s">
        <v>139</v>
      </c>
      <c r="H46" s="385" t="s">
        <v>134</v>
      </c>
      <c r="I46" s="282" t="s">
        <v>140</v>
      </c>
      <c r="J46" s="385" t="s">
        <v>141</v>
      </c>
      <c r="K46" s="282" t="s">
        <v>142</v>
      </c>
      <c r="L46" s="385" t="s">
        <v>136</v>
      </c>
      <c r="M46" s="273">
        <v>430100400</v>
      </c>
      <c r="N46" s="425" t="s">
        <v>143</v>
      </c>
      <c r="O46" s="282" t="s">
        <v>67</v>
      </c>
      <c r="P46" s="272">
        <f>30-10</f>
        <v>20</v>
      </c>
      <c r="Q46" s="272">
        <v>4</v>
      </c>
      <c r="R46" s="281">
        <v>2024003630032</v>
      </c>
      <c r="S46" s="385" t="s">
        <v>144</v>
      </c>
      <c r="T46" s="328">
        <f>3064240000+100000000</f>
        <v>3164240000</v>
      </c>
      <c r="U46" s="328">
        <v>1003787598</v>
      </c>
      <c r="V46" s="328">
        <v>143930523</v>
      </c>
      <c r="W46" s="328"/>
      <c r="X46" s="328"/>
      <c r="Y46" s="328"/>
      <c r="Z46" s="328"/>
      <c r="AA46" s="328"/>
      <c r="AB46" s="328"/>
      <c r="AC46" s="328"/>
      <c r="AD46" s="328"/>
      <c r="AE46" s="328"/>
      <c r="AF46" s="328"/>
      <c r="AG46" s="328"/>
      <c r="AH46" s="328"/>
      <c r="AI46" s="328"/>
      <c r="AJ46" s="328"/>
      <c r="AK46" s="328"/>
      <c r="AL46" s="404"/>
      <c r="AM46" s="404"/>
      <c r="AN46" s="404"/>
      <c r="AO46" s="328"/>
      <c r="AP46" s="328"/>
      <c r="AQ46" s="328"/>
      <c r="AR46" s="328"/>
      <c r="AS46" s="328"/>
      <c r="AT46" s="328"/>
      <c r="AU46" s="328">
        <f t="shared" si="0"/>
        <v>3164240000</v>
      </c>
      <c r="AV46" s="328">
        <f t="shared" si="1"/>
        <v>1003787598</v>
      </c>
      <c r="AW46" s="328">
        <f t="shared" si="2"/>
        <v>143930523</v>
      </c>
      <c r="AX46" s="385" t="s">
        <v>111</v>
      </c>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row>
    <row r="47" spans="1:129" s="332" customFormat="1" ht="80.25" customHeight="1" x14ac:dyDescent="0.25">
      <c r="A47" s="277">
        <v>308</v>
      </c>
      <c r="B47" s="325" t="s">
        <v>104</v>
      </c>
      <c r="C47" s="271"/>
      <c r="D47" s="325"/>
      <c r="E47" s="271">
        <v>1</v>
      </c>
      <c r="F47" s="325" t="s">
        <v>112</v>
      </c>
      <c r="G47" s="259">
        <v>43</v>
      </c>
      <c r="H47" s="393" t="s">
        <v>134</v>
      </c>
      <c r="I47" s="282" t="s">
        <v>140</v>
      </c>
      <c r="J47" s="385" t="s">
        <v>141</v>
      </c>
      <c r="K47" s="281">
        <v>4301013</v>
      </c>
      <c r="L47" s="393" t="s">
        <v>145</v>
      </c>
      <c r="M47" s="277">
        <v>430101300</v>
      </c>
      <c r="N47" s="417" t="s">
        <v>145</v>
      </c>
      <c r="O47" s="282" t="s">
        <v>67</v>
      </c>
      <c r="P47" s="272">
        <v>2</v>
      </c>
      <c r="Q47" s="272">
        <v>0</v>
      </c>
      <c r="R47" s="281">
        <v>2024003630032</v>
      </c>
      <c r="S47" s="385" t="s">
        <v>144</v>
      </c>
      <c r="T47" s="328">
        <f>1487883650-100000000</f>
        <v>1387883650</v>
      </c>
      <c r="U47" s="328">
        <v>456536698.42000002</v>
      </c>
      <c r="V47" s="328">
        <v>65250000</v>
      </c>
      <c r="W47" s="328"/>
      <c r="X47" s="328"/>
      <c r="Y47" s="328"/>
      <c r="Z47" s="328"/>
      <c r="AA47" s="328"/>
      <c r="AB47" s="328"/>
      <c r="AC47" s="328"/>
      <c r="AD47" s="328"/>
      <c r="AE47" s="328"/>
      <c r="AF47" s="328"/>
      <c r="AG47" s="328"/>
      <c r="AH47" s="328"/>
      <c r="AI47" s="328"/>
      <c r="AJ47" s="328"/>
      <c r="AK47" s="328"/>
      <c r="AL47" s="404"/>
      <c r="AM47" s="404"/>
      <c r="AN47" s="404"/>
      <c r="AO47" s="328"/>
      <c r="AP47" s="328"/>
      <c r="AQ47" s="328"/>
      <c r="AR47" s="328"/>
      <c r="AS47" s="328"/>
      <c r="AT47" s="328"/>
      <c r="AU47" s="328">
        <f t="shared" si="0"/>
        <v>1387883650</v>
      </c>
      <c r="AV47" s="328">
        <f t="shared" si="1"/>
        <v>456536698.42000002</v>
      </c>
      <c r="AW47" s="328">
        <f t="shared" si="2"/>
        <v>65250000</v>
      </c>
      <c r="AX47" s="385" t="s">
        <v>111</v>
      </c>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row>
    <row r="48" spans="1:129" s="331" customFormat="1" ht="80.25" customHeight="1" x14ac:dyDescent="0.25">
      <c r="A48" s="262">
        <v>308</v>
      </c>
      <c r="B48" s="376" t="s">
        <v>104</v>
      </c>
      <c r="C48" s="257">
        <v>3</v>
      </c>
      <c r="D48" s="376" t="s">
        <v>146</v>
      </c>
      <c r="E48" s="257">
        <v>3</v>
      </c>
      <c r="F48" s="376" t="s">
        <v>147</v>
      </c>
      <c r="G48" s="257">
        <v>24</v>
      </c>
      <c r="H48" s="376" t="s">
        <v>148</v>
      </c>
      <c r="I48" s="257">
        <v>2402</v>
      </c>
      <c r="J48" s="392" t="s">
        <v>149</v>
      </c>
      <c r="K48" s="257">
        <v>2402041</v>
      </c>
      <c r="L48" s="418" t="s">
        <v>150</v>
      </c>
      <c r="M48" s="276">
        <v>240204100</v>
      </c>
      <c r="N48" s="418" t="s">
        <v>151</v>
      </c>
      <c r="O48" s="378" t="s">
        <v>26</v>
      </c>
      <c r="P48" s="263">
        <v>70.379000000000005</v>
      </c>
      <c r="Q48" s="263">
        <v>108.9</v>
      </c>
      <c r="R48" s="380">
        <v>2020003630053</v>
      </c>
      <c r="S48" s="376" t="s">
        <v>152</v>
      </c>
      <c r="T48" s="381"/>
      <c r="U48" s="381"/>
      <c r="V48" s="381"/>
      <c r="W48" s="381"/>
      <c r="X48" s="381"/>
      <c r="Y48" s="381"/>
      <c r="Z48" s="381"/>
      <c r="AA48" s="381"/>
      <c r="AB48" s="381"/>
      <c r="AC48" s="381"/>
      <c r="AD48" s="381"/>
      <c r="AE48" s="381"/>
      <c r="AF48" s="381"/>
      <c r="AG48" s="381"/>
      <c r="AH48" s="381"/>
      <c r="AI48" s="381"/>
      <c r="AJ48" s="381"/>
      <c r="AK48" s="381"/>
      <c r="AL48" s="400">
        <f>9859061370.23-2416452480.87</f>
        <v>7442608889.3599997</v>
      </c>
      <c r="AM48" s="400">
        <v>5047397818.3699999</v>
      </c>
      <c r="AN48" s="400">
        <v>4847362093.8099995</v>
      </c>
      <c r="AO48" s="400">
        <f>1201688107.31-385112906.98</f>
        <v>816575200.32999992</v>
      </c>
      <c r="AP48" s="400">
        <v>816575200.32999992</v>
      </c>
      <c r="AQ48" s="400">
        <v>365607149.27999997</v>
      </c>
      <c r="AR48" s="381">
        <f>10125448251.4-8026116032.4</f>
        <v>2099332219</v>
      </c>
      <c r="AS48" s="381">
        <v>1999332219</v>
      </c>
      <c r="AT48" s="381">
        <v>351429131</v>
      </c>
      <c r="AU48" s="381">
        <f t="shared" si="0"/>
        <v>10358516308.689999</v>
      </c>
      <c r="AV48" s="381">
        <f t="shared" si="1"/>
        <v>7863305237.6999998</v>
      </c>
      <c r="AW48" s="381">
        <f t="shared" si="2"/>
        <v>5564398374.0899992</v>
      </c>
      <c r="AX48" s="392" t="s">
        <v>111</v>
      </c>
    </row>
    <row r="49" spans="1:129" s="332" customFormat="1" ht="80.25" customHeight="1" x14ac:dyDescent="0.25">
      <c r="A49" s="273">
        <v>308</v>
      </c>
      <c r="B49" s="325" t="s">
        <v>104</v>
      </c>
      <c r="C49" s="259"/>
      <c r="D49" s="325"/>
      <c r="E49" s="259">
        <v>3</v>
      </c>
      <c r="F49" s="325" t="s">
        <v>147</v>
      </c>
      <c r="G49" s="343" t="s">
        <v>153</v>
      </c>
      <c r="H49" s="386" t="s">
        <v>148</v>
      </c>
      <c r="I49" s="343" t="s">
        <v>154</v>
      </c>
      <c r="J49" s="386" t="s">
        <v>155</v>
      </c>
      <c r="K49" s="313">
        <v>2402041</v>
      </c>
      <c r="L49" s="386" t="s">
        <v>151</v>
      </c>
      <c r="M49" s="276">
        <v>240204100</v>
      </c>
      <c r="N49" s="386" t="s">
        <v>151</v>
      </c>
      <c r="O49" s="282" t="s">
        <v>67</v>
      </c>
      <c r="P49" s="264">
        <f>7.5-2</f>
        <v>5.5</v>
      </c>
      <c r="Q49" s="264">
        <v>4.12</v>
      </c>
      <c r="R49" s="281">
        <v>2024003630039</v>
      </c>
      <c r="S49" s="325" t="s">
        <v>156</v>
      </c>
      <c r="T49" s="328"/>
      <c r="U49" s="328"/>
      <c r="V49" s="328"/>
      <c r="W49" s="328"/>
      <c r="X49" s="328"/>
      <c r="Y49" s="328"/>
      <c r="Z49" s="328"/>
      <c r="AA49" s="328"/>
      <c r="AB49" s="328"/>
      <c r="AC49" s="328"/>
      <c r="AD49" s="328"/>
      <c r="AE49" s="328"/>
      <c r="AF49" s="328"/>
      <c r="AG49" s="328"/>
      <c r="AH49" s="328"/>
      <c r="AI49" s="328"/>
      <c r="AJ49" s="328"/>
      <c r="AK49" s="328"/>
      <c r="AL49" s="343"/>
      <c r="AM49" s="343"/>
      <c r="AN49" s="343"/>
      <c r="AO49" s="404">
        <f>1023201349.8+385112906.98+150448.76</f>
        <v>1408464705.54</v>
      </c>
      <c r="AP49" s="404">
        <v>373150000</v>
      </c>
      <c r="AQ49" s="404">
        <v>283000000</v>
      </c>
      <c r="AR49" s="328">
        <f>8020066157.4+6049875</f>
        <v>8026116032.3999996</v>
      </c>
      <c r="AS49" s="328"/>
      <c r="AT49" s="328"/>
      <c r="AU49" s="328">
        <f t="shared" si="0"/>
        <v>9434580737.9399986</v>
      </c>
      <c r="AV49" s="328">
        <f t="shared" si="1"/>
        <v>373150000</v>
      </c>
      <c r="AW49" s="328">
        <f t="shared" si="2"/>
        <v>283000000</v>
      </c>
      <c r="AX49" s="385" t="s">
        <v>111</v>
      </c>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row>
    <row r="50" spans="1:129" s="332" customFormat="1" ht="80.25" customHeight="1" x14ac:dyDescent="0.25">
      <c r="A50" s="277">
        <v>308</v>
      </c>
      <c r="B50" s="325" t="s">
        <v>104</v>
      </c>
      <c r="C50" s="306"/>
      <c r="D50" s="325"/>
      <c r="E50" s="306">
        <v>3</v>
      </c>
      <c r="F50" s="325" t="s">
        <v>147</v>
      </c>
      <c r="G50" s="343" t="s">
        <v>153</v>
      </c>
      <c r="H50" s="386" t="s">
        <v>148</v>
      </c>
      <c r="I50" s="343" t="s">
        <v>154</v>
      </c>
      <c r="J50" s="386" t="s">
        <v>155</v>
      </c>
      <c r="K50" s="259">
        <v>2402112</v>
      </c>
      <c r="L50" s="386" t="s">
        <v>157</v>
      </c>
      <c r="M50" s="279">
        <v>240211200</v>
      </c>
      <c r="N50" s="386" t="s">
        <v>158</v>
      </c>
      <c r="O50" s="282" t="s">
        <v>67</v>
      </c>
      <c r="P50" s="264">
        <v>100</v>
      </c>
      <c r="Q50" s="426">
        <v>0</v>
      </c>
      <c r="R50" s="281">
        <v>2024003630039</v>
      </c>
      <c r="S50" s="325" t="s">
        <v>156</v>
      </c>
      <c r="T50" s="328"/>
      <c r="U50" s="328"/>
      <c r="V50" s="328"/>
      <c r="W50" s="328"/>
      <c r="X50" s="328"/>
      <c r="Y50" s="328"/>
      <c r="Z50" s="328"/>
      <c r="AA50" s="328"/>
      <c r="AB50" s="328"/>
      <c r="AC50" s="328"/>
      <c r="AD50" s="328"/>
      <c r="AE50" s="328"/>
      <c r="AF50" s="328"/>
      <c r="AG50" s="328"/>
      <c r="AH50" s="328"/>
      <c r="AI50" s="328"/>
      <c r="AJ50" s="328"/>
      <c r="AK50" s="328"/>
      <c r="AL50" s="404">
        <v>53452480.869999997</v>
      </c>
      <c r="AM50" s="404">
        <v>50000000</v>
      </c>
      <c r="AN50" s="404"/>
      <c r="AO50" s="404">
        <f>250000000+1754937000</f>
        <v>2004937000</v>
      </c>
      <c r="AP50" s="404">
        <v>1233799401.8400002</v>
      </c>
      <c r="AQ50" s="404">
        <v>494187086.10000002</v>
      </c>
      <c r="AR50" s="404"/>
      <c r="AS50" s="404"/>
      <c r="AT50" s="328"/>
      <c r="AU50" s="328">
        <f t="shared" si="0"/>
        <v>2058389480.8699999</v>
      </c>
      <c r="AV50" s="328">
        <f t="shared" si="1"/>
        <v>1283799401.8400002</v>
      </c>
      <c r="AW50" s="328">
        <f t="shared" si="2"/>
        <v>494187086.10000002</v>
      </c>
      <c r="AX50" s="385" t="s">
        <v>111</v>
      </c>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row>
    <row r="51" spans="1:129" s="331" customFormat="1" ht="80.25" customHeight="1" x14ac:dyDescent="0.25">
      <c r="A51" s="262">
        <v>308</v>
      </c>
      <c r="B51" s="376" t="s">
        <v>104</v>
      </c>
      <c r="C51" s="257">
        <v>3</v>
      </c>
      <c r="D51" s="376" t="s">
        <v>146</v>
      </c>
      <c r="E51" s="257">
        <v>2</v>
      </c>
      <c r="F51" s="376" t="s">
        <v>159</v>
      </c>
      <c r="G51" s="257">
        <v>32</v>
      </c>
      <c r="H51" s="376" t="s">
        <v>160</v>
      </c>
      <c r="I51" s="257">
        <v>3205</v>
      </c>
      <c r="J51" s="376" t="s">
        <v>161</v>
      </c>
      <c r="K51" s="257">
        <v>3205010</v>
      </c>
      <c r="L51" s="376" t="s">
        <v>162</v>
      </c>
      <c r="M51" s="278" t="s">
        <v>163</v>
      </c>
      <c r="N51" s="388" t="s">
        <v>164</v>
      </c>
      <c r="O51" s="378" t="s">
        <v>67</v>
      </c>
      <c r="P51" s="280">
        <v>3</v>
      </c>
      <c r="Q51" s="419">
        <v>3</v>
      </c>
      <c r="R51" s="422">
        <v>2021003630004</v>
      </c>
      <c r="S51" s="388" t="s">
        <v>165</v>
      </c>
      <c r="T51" s="381"/>
      <c r="U51" s="381"/>
      <c r="V51" s="381"/>
      <c r="W51" s="381"/>
      <c r="X51" s="381"/>
      <c r="Y51" s="381"/>
      <c r="Z51" s="381"/>
      <c r="AA51" s="381"/>
      <c r="AB51" s="381"/>
      <c r="AC51" s="381"/>
      <c r="AD51" s="381"/>
      <c r="AE51" s="381"/>
      <c r="AF51" s="381"/>
      <c r="AG51" s="381"/>
      <c r="AH51" s="381"/>
      <c r="AI51" s="381"/>
      <c r="AJ51" s="381"/>
      <c r="AK51" s="381"/>
      <c r="AL51" s="400">
        <v>50000000</v>
      </c>
      <c r="AM51" s="400">
        <v>10000000</v>
      </c>
      <c r="AN51" s="400">
        <v>0</v>
      </c>
      <c r="AO51" s="400">
        <v>190000000</v>
      </c>
      <c r="AP51" s="400">
        <v>184700386</v>
      </c>
      <c r="AQ51" s="400">
        <v>0</v>
      </c>
      <c r="AR51" s="381"/>
      <c r="AS51" s="381"/>
      <c r="AT51" s="381"/>
      <c r="AU51" s="381">
        <f t="shared" si="0"/>
        <v>240000000</v>
      </c>
      <c r="AV51" s="381">
        <f t="shared" si="1"/>
        <v>194700386</v>
      </c>
      <c r="AW51" s="381">
        <f t="shared" si="2"/>
        <v>0</v>
      </c>
      <c r="AX51" s="392" t="s">
        <v>111</v>
      </c>
    </row>
    <row r="52" spans="1:129" s="331" customFormat="1" ht="80.25" customHeight="1" x14ac:dyDescent="0.25">
      <c r="A52" s="257">
        <v>308</v>
      </c>
      <c r="B52" s="376" t="s">
        <v>104</v>
      </c>
      <c r="C52" s="257">
        <v>3</v>
      </c>
      <c r="D52" s="376" t="s">
        <v>146</v>
      </c>
      <c r="E52" s="257">
        <v>2</v>
      </c>
      <c r="F52" s="376" t="s">
        <v>159</v>
      </c>
      <c r="G52" s="257">
        <v>32</v>
      </c>
      <c r="H52" s="376" t="s">
        <v>160</v>
      </c>
      <c r="I52" s="257">
        <v>3205</v>
      </c>
      <c r="J52" s="376" t="s">
        <v>161</v>
      </c>
      <c r="K52" s="257">
        <v>3205021</v>
      </c>
      <c r="L52" s="376" t="s">
        <v>166</v>
      </c>
      <c r="M52" s="427">
        <v>320502100</v>
      </c>
      <c r="N52" s="428" t="s">
        <v>167</v>
      </c>
      <c r="O52" s="378" t="s">
        <v>67</v>
      </c>
      <c r="P52" s="286">
        <v>4</v>
      </c>
      <c r="Q52" s="419">
        <v>2</v>
      </c>
      <c r="R52" s="422">
        <v>2021003630002</v>
      </c>
      <c r="S52" s="388" t="s">
        <v>168</v>
      </c>
      <c r="T52" s="381"/>
      <c r="U52" s="381"/>
      <c r="V52" s="381"/>
      <c r="W52" s="381"/>
      <c r="X52" s="381"/>
      <c r="Y52" s="381"/>
      <c r="Z52" s="381"/>
      <c r="AA52" s="381"/>
      <c r="AB52" s="381"/>
      <c r="AC52" s="381"/>
      <c r="AD52" s="381"/>
      <c r="AE52" s="381"/>
      <c r="AF52" s="381"/>
      <c r="AG52" s="381"/>
      <c r="AH52" s="381"/>
      <c r="AI52" s="381"/>
      <c r="AJ52" s="381"/>
      <c r="AK52" s="381"/>
      <c r="AL52" s="400">
        <v>50000000</v>
      </c>
      <c r="AM52" s="400">
        <v>14400000</v>
      </c>
      <c r="AN52" s="400">
        <v>14400000</v>
      </c>
      <c r="AO52" s="400">
        <v>200000000</v>
      </c>
      <c r="AP52" s="400">
        <v>153631851</v>
      </c>
      <c r="AQ52" s="400">
        <v>0</v>
      </c>
      <c r="AR52" s="381"/>
      <c r="AS52" s="381"/>
      <c r="AT52" s="381"/>
      <c r="AU52" s="381">
        <f t="shared" si="0"/>
        <v>250000000</v>
      </c>
      <c r="AV52" s="381">
        <f t="shared" si="1"/>
        <v>168031851</v>
      </c>
      <c r="AW52" s="381">
        <f t="shared" si="2"/>
        <v>14400000</v>
      </c>
      <c r="AX52" s="392" t="s">
        <v>111</v>
      </c>
    </row>
    <row r="53" spans="1:129" s="331" customFormat="1" ht="80.25" customHeight="1" x14ac:dyDescent="0.25">
      <c r="A53" s="262">
        <v>308</v>
      </c>
      <c r="B53" s="376" t="s">
        <v>104</v>
      </c>
      <c r="C53" s="257">
        <v>3</v>
      </c>
      <c r="D53" s="376" t="s">
        <v>146</v>
      </c>
      <c r="E53" s="257">
        <v>3</v>
      </c>
      <c r="F53" s="376" t="s">
        <v>147</v>
      </c>
      <c r="G53" s="257">
        <v>40</v>
      </c>
      <c r="H53" s="376" t="s">
        <v>169</v>
      </c>
      <c r="I53" s="257">
        <v>4003</v>
      </c>
      <c r="J53" s="376" t="s">
        <v>172</v>
      </c>
      <c r="K53" s="257">
        <v>4003025</v>
      </c>
      <c r="L53" s="418" t="s">
        <v>177</v>
      </c>
      <c r="M53" s="265">
        <v>400302500</v>
      </c>
      <c r="N53" s="429" t="s">
        <v>178</v>
      </c>
      <c r="O53" s="378" t="s">
        <v>67</v>
      </c>
      <c r="P53" s="263">
        <v>3</v>
      </c>
      <c r="Q53" s="426">
        <v>0</v>
      </c>
      <c r="R53" s="380">
        <v>2020003630014</v>
      </c>
      <c r="S53" s="388" t="s">
        <v>175</v>
      </c>
      <c r="T53" s="381">
        <f>1500000000+1800000000-3027362707.8</f>
        <v>272637292.19999981</v>
      </c>
      <c r="U53" s="381">
        <v>252132293.15000001</v>
      </c>
      <c r="V53" s="381">
        <v>0</v>
      </c>
      <c r="W53" s="381"/>
      <c r="X53" s="381"/>
      <c r="Y53" s="381"/>
      <c r="Z53" s="381"/>
      <c r="AA53" s="381"/>
      <c r="AB53" s="381"/>
      <c r="AC53" s="381"/>
      <c r="AD53" s="381"/>
      <c r="AE53" s="381"/>
      <c r="AF53" s="381"/>
      <c r="AG53" s="381"/>
      <c r="AH53" s="381"/>
      <c r="AI53" s="381">
        <f>857000000+45473661.21-902473661.21</f>
        <v>0</v>
      </c>
      <c r="AJ53" s="381"/>
      <c r="AK53" s="381"/>
      <c r="AL53" s="400"/>
      <c r="AM53" s="400"/>
      <c r="AN53" s="400"/>
      <c r="AO53" s="400"/>
      <c r="AP53" s="400"/>
      <c r="AQ53" s="400"/>
      <c r="AR53" s="381"/>
      <c r="AS53" s="381"/>
      <c r="AT53" s="381"/>
      <c r="AU53" s="381">
        <f t="shared" si="0"/>
        <v>272637292.19999981</v>
      </c>
      <c r="AV53" s="381">
        <f t="shared" si="1"/>
        <v>252132293.15000001</v>
      </c>
      <c r="AW53" s="381">
        <f t="shared" si="2"/>
        <v>0</v>
      </c>
      <c r="AX53" s="392" t="s">
        <v>111</v>
      </c>
    </row>
    <row r="54" spans="1:129" s="332" customFormat="1" ht="80.25" customHeight="1" x14ac:dyDescent="0.25">
      <c r="A54" s="277">
        <v>308</v>
      </c>
      <c r="B54" s="325" t="s">
        <v>104</v>
      </c>
      <c r="C54" s="259"/>
      <c r="D54" s="325"/>
      <c r="E54" s="259">
        <v>3</v>
      </c>
      <c r="F54" s="325" t="s">
        <v>147</v>
      </c>
      <c r="G54" s="343" t="s">
        <v>183</v>
      </c>
      <c r="H54" s="385" t="s">
        <v>169</v>
      </c>
      <c r="I54" s="282" t="s">
        <v>184</v>
      </c>
      <c r="J54" s="385" t="s">
        <v>172</v>
      </c>
      <c r="K54" s="313" t="s">
        <v>185</v>
      </c>
      <c r="L54" s="385" t="s">
        <v>176</v>
      </c>
      <c r="M54" s="396" t="s">
        <v>186</v>
      </c>
      <c r="N54" s="417" t="s">
        <v>176</v>
      </c>
      <c r="O54" s="282" t="s">
        <v>67</v>
      </c>
      <c r="P54" s="264">
        <v>1</v>
      </c>
      <c r="Q54" s="426">
        <v>1</v>
      </c>
      <c r="R54" s="281">
        <v>2024003630028</v>
      </c>
      <c r="S54" s="333" t="s">
        <v>187</v>
      </c>
      <c r="T54" s="328"/>
      <c r="U54" s="328"/>
      <c r="V54" s="328"/>
      <c r="W54" s="328"/>
      <c r="X54" s="328"/>
      <c r="Y54" s="328"/>
      <c r="Z54" s="328"/>
      <c r="AA54" s="328"/>
      <c r="AB54" s="328"/>
      <c r="AC54" s="328"/>
      <c r="AD54" s="328"/>
      <c r="AE54" s="328"/>
      <c r="AF54" s="328"/>
      <c r="AG54" s="328"/>
      <c r="AH54" s="328"/>
      <c r="AI54" s="328">
        <v>1100000000</v>
      </c>
      <c r="AJ54" s="328">
        <v>1100000000</v>
      </c>
      <c r="AK54" s="328">
        <v>1100000000</v>
      </c>
      <c r="AL54" s="404"/>
      <c r="AM54" s="404"/>
      <c r="AN54" s="404"/>
      <c r="AO54" s="404"/>
      <c r="AP54" s="404"/>
      <c r="AQ54" s="404"/>
      <c r="AR54" s="328"/>
      <c r="AS54" s="328"/>
      <c r="AT54" s="328"/>
      <c r="AU54" s="328">
        <f t="shared" si="0"/>
        <v>1100000000</v>
      </c>
      <c r="AV54" s="328">
        <f t="shared" si="1"/>
        <v>1100000000</v>
      </c>
      <c r="AW54" s="328">
        <f t="shared" si="2"/>
        <v>1100000000</v>
      </c>
      <c r="AX54" s="385" t="s">
        <v>111</v>
      </c>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row>
    <row r="55" spans="1:129" s="332" customFormat="1" ht="80.25" customHeight="1" x14ac:dyDescent="0.25">
      <c r="A55" s="273">
        <v>308</v>
      </c>
      <c r="B55" s="325" t="s">
        <v>104</v>
      </c>
      <c r="C55" s="306"/>
      <c r="D55" s="325"/>
      <c r="E55" s="306">
        <v>3</v>
      </c>
      <c r="F55" s="325" t="s">
        <v>147</v>
      </c>
      <c r="G55" s="343" t="s">
        <v>183</v>
      </c>
      <c r="H55" s="385" t="s">
        <v>169</v>
      </c>
      <c r="I55" s="282" t="s">
        <v>184</v>
      </c>
      <c r="J55" s="385" t="s">
        <v>172</v>
      </c>
      <c r="K55" s="282" t="s">
        <v>188</v>
      </c>
      <c r="L55" s="385" t="s">
        <v>177</v>
      </c>
      <c r="M55" s="430">
        <v>400302500</v>
      </c>
      <c r="N55" s="385" t="s">
        <v>178</v>
      </c>
      <c r="O55" s="282" t="s">
        <v>67</v>
      </c>
      <c r="P55" s="264">
        <f>10+1</f>
        <v>11</v>
      </c>
      <c r="Q55" s="426">
        <v>0</v>
      </c>
      <c r="R55" s="281">
        <v>2024003630028</v>
      </c>
      <c r="S55" s="333" t="s">
        <v>187</v>
      </c>
      <c r="T55" s="328">
        <v>3027362707.8000002</v>
      </c>
      <c r="U55" s="328">
        <v>700498852.50999999</v>
      </c>
      <c r="V55" s="328"/>
      <c r="W55" s="328"/>
      <c r="X55" s="328"/>
      <c r="Y55" s="328"/>
      <c r="Z55" s="328"/>
      <c r="AA55" s="328"/>
      <c r="AB55" s="328"/>
      <c r="AC55" s="328"/>
      <c r="AD55" s="328"/>
      <c r="AE55" s="328"/>
      <c r="AF55" s="328"/>
      <c r="AG55" s="328"/>
      <c r="AH55" s="328"/>
      <c r="AI55" s="328">
        <f>1202473661.21+227160194</f>
        <v>1429633855.21</v>
      </c>
      <c r="AJ55" s="328">
        <v>1384160194</v>
      </c>
      <c r="AK55" s="328">
        <v>1048223322</v>
      </c>
      <c r="AL55" s="404"/>
      <c r="AM55" s="404"/>
      <c r="AN55" s="404"/>
      <c r="AO55" s="404"/>
      <c r="AP55" s="404"/>
      <c r="AQ55" s="404"/>
      <c r="AR55" s="328"/>
      <c r="AS55" s="328"/>
      <c r="AT55" s="328"/>
      <c r="AU55" s="328">
        <f t="shared" si="0"/>
        <v>4456996563.0100002</v>
      </c>
      <c r="AV55" s="328">
        <f t="shared" si="1"/>
        <v>2084659046.51</v>
      </c>
      <c r="AW55" s="328">
        <f t="shared" si="2"/>
        <v>1048223322</v>
      </c>
      <c r="AX55" s="385" t="s">
        <v>111</v>
      </c>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row>
    <row r="56" spans="1:129" s="332" customFormat="1" ht="80.25" customHeight="1" x14ac:dyDescent="0.25">
      <c r="A56" s="277">
        <v>308</v>
      </c>
      <c r="B56" s="325" t="s">
        <v>104</v>
      </c>
      <c r="C56" s="306"/>
      <c r="D56" s="325"/>
      <c r="E56" s="306">
        <v>3</v>
      </c>
      <c r="F56" s="325" t="s">
        <v>147</v>
      </c>
      <c r="G56" s="343" t="s">
        <v>183</v>
      </c>
      <c r="H56" s="385" t="s">
        <v>169</v>
      </c>
      <c r="I56" s="282" t="s">
        <v>184</v>
      </c>
      <c r="J56" s="385" t="s">
        <v>172</v>
      </c>
      <c r="K56" s="282" t="s">
        <v>189</v>
      </c>
      <c r="L56" s="385" t="s">
        <v>181</v>
      </c>
      <c r="M56" s="288">
        <v>400302600</v>
      </c>
      <c r="N56" s="417" t="s">
        <v>182</v>
      </c>
      <c r="O56" s="282" t="s">
        <v>67</v>
      </c>
      <c r="P56" s="264">
        <v>1</v>
      </c>
      <c r="Q56" s="264">
        <v>0</v>
      </c>
      <c r="R56" s="281">
        <v>2024003630028</v>
      </c>
      <c r="S56" s="333" t="s">
        <v>187</v>
      </c>
      <c r="T56" s="328"/>
      <c r="U56" s="328"/>
      <c r="V56" s="328"/>
      <c r="W56" s="328"/>
      <c r="X56" s="328"/>
      <c r="Y56" s="328"/>
      <c r="Z56" s="328"/>
      <c r="AA56" s="328"/>
      <c r="AB56" s="328"/>
      <c r="AC56" s="328"/>
      <c r="AD56" s="328"/>
      <c r="AE56" s="328"/>
      <c r="AF56" s="328"/>
      <c r="AG56" s="328"/>
      <c r="AH56" s="328"/>
      <c r="AI56" s="328">
        <v>1502617000</v>
      </c>
      <c r="AJ56" s="328">
        <v>1495617000</v>
      </c>
      <c r="AK56" s="328">
        <v>1495617000</v>
      </c>
      <c r="AL56" s="404"/>
      <c r="AM56" s="404"/>
      <c r="AN56" s="404"/>
      <c r="AO56" s="404"/>
      <c r="AP56" s="404"/>
      <c r="AQ56" s="404"/>
      <c r="AR56" s="328"/>
      <c r="AS56" s="328"/>
      <c r="AT56" s="328"/>
      <c r="AU56" s="328">
        <f t="shared" si="0"/>
        <v>1502617000</v>
      </c>
      <c r="AV56" s="328">
        <f t="shared" si="1"/>
        <v>1495617000</v>
      </c>
      <c r="AW56" s="328">
        <f t="shared" si="2"/>
        <v>1495617000</v>
      </c>
      <c r="AX56" s="385" t="s">
        <v>111</v>
      </c>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row>
    <row r="57" spans="1:129" s="332" customFormat="1" ht="80.25" customHeight="1" x14ac:dyDescent="0.25">
      <c r="A57" s="273">
        <v>308</v>
      </c>
      <c r="B57" s="325" t="s">
        <v>104</v>
      </c>
      <c r="C57" s="306"/>
      <c r="D57" s="325"/>
      <c r="E57" s="306">
        <v>3</v>
      </c>
      <c r="F57" s="325" t="s">
        <v>147</v>
      </c>
      <c r="G57" s="343" t="s">
        <v>183</v>
      </c>
      <c r="H57" s="385" t="s">
        <v>169</v>
      </c>
      <c r="I57" s="282" t="s">
        <v>184</v>
      </c>
      <c r="J57" s="385" t="s">
        <v>172</v>
      </c>
      <c r="K57" s="281" t="s">
        <v>190</v>
      </c>
      <c r="L57" s="385" t="s">
        <v>179</v>
      </c>
      <c r="M57" s="430">
        <v>400304200</v>
      </c>
      <c r="N57" s="417" t="s">
        <v>180</v>
      </c>
      <c r="O57" s="282" t="s">
        <v>67</v>
      </c>
      <c r="P57" s="431">
        <f>2+1</f>
        <v>3</v>
      </c>
      <c r="Q57" s="264">
        <v>0</v>
      </c>
      <c r="R57" s="281">
        <v>2024003630028</v>
      </c>
      <c r="S57" s="333" t="s">
        <v>187</v>
      </c>
      <c r="T57" s="328"/>
      <c r="U57" s="328"/>
      <c r="V57" s="328"/>
      <c r="W57" s="328"/>
      <c r="X57" s="328"/>
      <c r="Y57" s="328"/>
      <c r="Z57" s="328"/>
      <c r="AA57" s="328"/>
      <c r="AB57" s="328"/>
      <c r="AC57" s="328"/>
      <c r="AD57" s="328"/>
      <c r="AE57" s="328"/>
      <c r="AF57" s="328"/>
      <c r="AG57" s="328"/>
      <c r="AH57" s="328"/>
      <c r="AI57" s="328">
        <v>300000000</v>
      </c>
      <c r="AJ57" s="328">
        <v>300000000</v>
      </c>
      <c r="AK57" s="328">
        <v>300000000</v>
      </c>
      <c r="AL57" s="404"/>
      <c r="AM57" s="404"/>
      <c r="AN57" s="404"/>
      <c r="AO57" s="404"/>
      <c r="AP57" s="404"/>
      <c r="AQ57" s="404"/>
      <c r="AR57" s="328"/>
      <c r="AS57" s="328"/>
      <c r="AT57" s="328"/>
      <c r="AU57" s="328">
        <f t="shared" si="0"/>
        <v>300000000</v>
      </c>
      <c r="AV57" s="328">
        <f t="shared" si="1"/>
        <v>300000000</v>
      </c>
      <c r="AW57" s="328">
        <f t="shared" si="2"/>
        <v>300000000</v>
      </c>
      <c r="AX57" s="385" t="s">
        <v>111</v>
      </c>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row>
    <row r="58" spans="1:129" s="331" customFormat="1" ht="80.25" customHeight="1" x14ac:dyDescent="0.25">
      <c r="A58" s="262">
        <v>308</v>
      </c>
      <c r="B58" s="376" t="s">
        <v>104</v>
      </c>
      <c r="C58" s="257">
        <v>4</v>
      </c>
      <c r="D58" s="376" t="s">
        <v>36</v>
      </c>
      <c r="E58" s="257">
        <v>4</v>
      </c>
      <c r="F58" s="376" t="s">
        <v>102</v>
      </c>
      <c r="G58" s="257">
        <v>45</v>
      </c>
      <c r="H58" s="376" t="s">
        <v>22</v>
      </c>
      <c r="I58" s="257">
        <v>4599</v>
      </c>
      <c r="J58" s="376" t="s">
        <v>23</v>
      </c>
      <c r="K58" s="257">
        <v>4599016</v>
      </c>
      <c r="L58" s="376" t="s">
        <v>116</v>
      </c>
      <c r="M58" s="278">
        <v>459901600</v>
      </c>
      <c r="N58" s="392" t="s">
        <v>116</v>
      </c>
      <c r="O58" s="378" t="s">
        <v>26</v>
      </c>
      <c r="P58" s="280">
        <v>4</v>
      </c>
      <c r="Q58" s="280">
        <v>4</v>
      </c>
      <c r="R58" s="422">
        <v>2021003630003</v>
      </c>
      <c r="S58" s="388" t="s">
        <v>191</v>
      </c>
      <c r="T58" s="381"/>
      <c r="U58" s="381"/>
      <c r="V58" s="381"/>
      <c r="W58" s="381"/>
      <c r="X58" s="381"/>
      <c r="Y58" s="381"/>
      <c r="Z58" s="381"/>
      <c r="AA58" s="381"/>
      <c r="AB58" s="381"/>
      <c r="AC58" s="381"/>
      <c r="AD58" s="381"/>
      <c r="AE58" s="381"/>
      <c r="AF58" s="381"/>
      <c r="AG58" s="381"/>
      <c r="AH58" s="381"/>
      <c r="AI58" s="381"/>
      <c r="AJ58" s="381"/>
      <c r="AK58" s="381"/>
      <c r="AL58" s="400">
        <f>100000000+100000000+104400000+253600000</f>
        <v>558000000</v>
      </c>
      <c r="AM58" s="400">
        <v>393759163.13999999</v>
      </c>
      <c r="AN58" s="400">
        <v>120921489.38</v>
      </c>
      <c r="AO58" s="381"/>
      <c r="AP58" s="381"/>
      <c r="AQ58" s="381"/>
      <c r="AR58" s="381"/>
      <c r="AS58" s="381"/>
      <c r="AT58" s="381"/>
      <c r="AU58" s="381">
        <f t="shared" si="0"/>
        <v>558000000</v>
      </c>
      <c r="AV58" s="381">
        <f t="shared" si="1"/>
        <v>393759163.13999999</v>
      </c>
      <c r="AW58" s="381">
        <f t="shared" si="2"/>
        <v>120921489.38</v>
      </c>
      <c r="AX58" s="392" t="s">
        <v>111</v>
      </c>
    </row>
    <row r="59" spans="1:129" s="331" customFormat="1" ht="80.25" customHeight="1" x14ac:dyDescent="0.25">
      <c r="A59" s="257">
        <v>308</v>
      </c>
      <c r="B59" s="376" t="s">
        <v>104</v>
      </c>
      <c r="C59" s="257">
        <v>4</v>
      </c>
      <c r="D59" s="376" t="s">
        <v>36</v>
      </c>
      <c r="E59" s="257">
        <v>4</v>
      </c>
      <c r="F59" s="376" t="s">
        <v>102</v>
      </c>
      <c r="G59" s="257">
        <v>45</v>
      </c>
      <c r="H59" s="376" t="s">
        <v>22</v>
      </c>
      <c r="I59" s="257">
        <v>4502</v>
      </c>
      <c r="J59" s="376" t="s">
        <v>49</v>
      </c>
      <c r="K59" s="257">
        <v>4502003</v>
      </c>
      <c r="L59" s="418" t="s">
        <v>192</v>
      </c>
      <c r="M59" s="256">
        <v>450200300</v>
      </c>
      <c r="N59" s="388" t="s">
        <v>193</v>
      </c>
      <c r="O59" s="378" t="s">
        <v>67</v>
      </c>
      <c r="P59" s="280">
        <v>2</v>
      </c>
      <c r="Q59" s="419">
        <v>5</v>
      </c>
      <c r="R59" s="422">
        <v>2021003630006</v>
      </c>
      <c r="S59" s="388" t="s">
        <v>194</v>
      </c>
      <c r="T59" s="382"/>
      <c r="U59" s="382"/>
      <c r="V59" s="382"/>
      <c r="W59" s="381"/>
      <c r="X59" s="381"/>
      <c r="Y59" s="381"/>
      <c r="Z59" s="381"/>
      <c r="AA59" s="381"/>
      <c r="AB59" s="381"/>
      <c r="AC59" s="381"/>
      <c r="AD59" s="381"/>
      <c r="AE59" s="381"/>
      <c r="AF59" s="381"/>
      <c r="AG59" s="381"/>
      <c r="AH59" s="381"/>
      <c r="AI59" s="381"/>
      <c r="AJ59" s="381"/>
      <c r="AK59" s="381"/>
      <c r="AL59" s="400">
        <f>80000000-30000000</f>
        <v>50000000</v>
      </c>
      <c r="AM59" s="400">
        <v>44680000</v>
      </c>
      <c r="AN59" s="400">
        <v>29038010.119999997</v>
      </c>
      <c r="AO59" s="381">
        <v>6822431</v>
      </c>
      <c r="AP59" s="381"/>
      <c r="AQ59" s="381"/>
      <c r="AR59" s="381"/>
      <c r="AS59" s="381"/>
      <c r="AT59" s="381"/>
      <c r="AU59" s="381">
        <f t="shared" si="0"/>
        <v>56822431</v>
      </c>
      <c r="AV59" s="381">
        <f t="shared" si="1"/>
        <v>44680000</v>
      </c>
      <c r="AW59" s="381">
        <f t="shared" si="2"/>
        <v>29038010.119999997</v>
      </c>
      <c r="AX59" s="392" t="s">
        <v>111</v>
      </c>
    </row>
    <row r="60" spans="1:129" s="331" customFormat="1" ht="80.25" customHeight="1" x14ac:dyDescent="0.25">
      <c r="A60" s="380">
        <v>308</v>
      </c>
      <c r="B60" s="392" t="s">
        <v>104</v>
      </c>
      <c r="C60" s="380">
        <v>1</v>
      </c>
      <c r="D60" s="376" t="s">
        <v>105</v>
      </c>
      <c r="E60" s="380">
        <v>1</v>
      </c>
      <c r="F60" s="376" t="s">
        <v>112</v>
      </c>
      <c r="G60" s="432">
        <v>19</v>
      </c>
      <c r="H60" s="392" t="s">
        <v>195</v>
      </c>
      <c r="I60" s="380">
        <v>1903</v>
      </c>
      <c r="J60" s="392" t="s">
        <v>196</v>
      </c>
      <c r="K60" s="257">
        <v>1903043</v>
      </c>
      <c r="L60" s="392" t="s">
        <v>197</v>
      </c>
      <c r="M60" s="380">
        <v>190304300</v>
      </c>
      <c r="N60" s="392" t="s">
        <v>198</v>
      </c>
      <c r="O60" s="378" t="s">
        <v>67</v>
      </c>
      <c r="P60" s="433">
        <v>1</v>
      </c>
      <c r="Q60" s="433">
        <v>0.18</v>
      </c>
      <c r="R60" s="380">
        <v>2023003630002</v>
      </c>
      <c r="S60" s="392" t="s">
        <v>199</v>
      </c>
      <c r="T60" s="381"/>
      <c r="U60" s="381"/>
      <c r="V60" s="381"/>
      <c r="W60" s="381"/>
      <c r="X60" s="381"/>
      <c r="Y60" s="381"/>
      <c r="Z60" s="381"/>
      <c r="AA60" s="381"/>
      <c r="AB60" s="381"/>
      <c r="AC60" s="381"/>
      <c r="AD60" s="381"/>
      <c r="AE60" s="381"/>
      <c r="AF60" s="381"/>
      <c r="AG60" s="381"/>
      <c r="AH60" s="381"/>
      <c r="AI60" s="381"/>
      <c r="AJ60" s="381"/>
      <c r="AK60" s="381"/>
      <c r="AL60" s="400">
        <v>30000000</v>
      </c>
      <c r="AM60" s="400">
        <v>0</v>
      </c>
      <c r="AN60" s="400">
        <v>0</v>
      </c>
      <c r="AO60" s="434"/>
      <c r="AP60" s="434"/>
      <c r="AQ60" s="434"/>
      <c r="AR60" s="381"/>
      <c r="AS60" s="381"/>
      <c r="AT60" s="381"/>
      <c r="AU60" s="381">
        <f t="shared" si="0"/>
        <v>30000000</v>
      </c>
      <c r="AV60" s="381">
        <f t="shared" si="1"/>
        <v>0</v>
      </c>
      <c r="AW60" s="381">
        <f t="shared" si="2"/>
        <v>0</v>
      </c>
      <c r="AX60" s="392" t="s">
        <v>111</v>
      </c>
    </row>
    <row r="61" spans="1:129" s="332" customFormat="1" ht="80.25" customHeight="1" x14ac:dyDescent="0.25">
      <c r="A61" s="285">
        <v>308</v>
      </c>
      <c r="B61" s="385" t="s">
        <v>104</v>
      </c>
      <c r="C61" s="281"/>
      <c r="D61" s="325"/>
      <c r="E61" s="281">
        <v>1</v>
      </c>
      <c r="F61" s="325" t="s">
        <v>112</v>
      </c>
      <c r="G61" s="282" t="s">
        <v>200</v>
      </c>
      <c r="H61" s="435" t="s">
        <v>129</v>
      </c>
      <c r="I61" s="282" t="s">
        <v>201</v>
      </c>
      <c r="J61" s="385" t="s">
        <v>202</v>
      </c>
      <c r="K61" s="282" t="s">
        <v>203</v>
      </c>
      <c r="L61" s="385" t="s">
        <v>204</v>
      </c>
      <c r="M61" s="396" t="s">
        <v>205</v>
      </c>
      <c r="N61" s="417" t="s">
        <v>204</v>
      </c>
      <c r="O61" s="282" t="s">
        <v>26</v>
      </c>
      <c r="P61" s="272">
        <v>1</v>
      </c>
      <c r="Q61" s="419">
        <v>0</v>
      </c>
      <c r="R61" s="281">
        <v>2024003630040</v>
      </c>
      <c r="S61" s="385" t="s">
        <v>206</v>
      </c>
      <c r="T61" s="328"/>
      <c r="U61" s="328"/>
      <c r="V61" s="328"/>
      <c r="W61" s="328"/>
      <c r="X61" s="328"/>
      <c r="Y61" s="328"/>
      <c r="Z61" s="328"/>
      <c r="AA61" s="328"/>
      <c r="AB61" s="328"/>
      <c r="AC61" s="328"/>
      <c r="AD61" s="328"/>
      <c r="AE61" s="328"/>
      <c r="AF61" s="328"/>
      <c r="AG61" s="328"/>
      <c r="AH61" s="328"/>
      <c r="AI61" s="328"/>
      <c r="AJ61" s="328"/>
      <c r="AK61" s="328"/>
      <c r="AL61" s="328">
        <v>30000000</v>
      </c>
      <c r="AM61" s="328"/>
      <c r="AN61" s="328"/>
      <c r="AO61" s="436"/>
      <c r="AP61" s="436"/>
      <c r="AQ61" s="436"/>
      <c r="AR61" s="328"/>
      <c r="AS61" s="328"/>
      <c r="AT61" s="328"/>
      <c r="AU61" s="328">
        <f>SUM(T61,W61,Z61,AC61,AF61,AI61,AL61,AO61,AR61)</f>
        <v>30000000</v>
      </c>
      <c r="AV61" s="328">
        <f t="shared" si="1"/>
        <v>0</v>
      </c>
      <c r="AW61" s="328">
        <f t="shared" si="2"/>
        <v>0</v>
      </c>
      <c r="AX61" s="385" t="s">
        <v>111</v>
      </c>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row>
    <row r="62" spans="1:129" s="332" customFormat="1" ht="80.25" customHeight="1" x14ac:dyDescent="0.25">
      <c r="A62" s="285">
        <v>308</v>
      </c>
      <c r="B62" s="385" t="s">
        <v>104</v>
      </c>
      <c r="C62" s="281"/>
      <c r="D62" s="325"/>
      <c r="E62" s="281">
        <v>1</v>
      </c>
      <c r="F62" s="325" t="s">
        <v>112</v>
      </c>
      <c r="G62" s="282" t="s">
        <v>200</v>
      </c>
      <c r="H62" s="435" t="s">
        <v>129</v>
      </c>
      <c r="I62" s="282" t="s">
        <v>207</v>
      </c>
      <c r="J62" s="385" t="s">
        <v>130</v>
      </c>
      <c r="K62" s="281" t="s">
        <v>208</v>
      </c>
      <c r="L62" s="385" t="s">
        <v>209</v>
      </c>
      <c r="M62" s="285">
        <v>410400200</v>
      </c>
      <c r="N62" s="417" t="s">
        <v>209</v>
      </c>
      <c r="O62" s="282" t="s">
        <v>67</v>
      </c>
      <c r="P62" s="272">
        <v>1</v>
      </c>
      <c r="Q62" s="419">
        <v>0</v>
      </c>
      <c r="R62" s="281">
        <v>2024003630042</v>
      </c>
      <c r="S62" s="385" t="s">
        <v>210</v>
      </c>
      <c r="T62" s="328"/>
      <c r="U62" s="328"/>
      <c r="V62" s="437"/>
      <c r="W62" s="343"/>
      <c r="X62" s="343"/>
      <c r="Z62" s="328"/>
      <c r="AA62" s="328"/>
      <c r="AB62" s="328"/>
      <c r="AC62" s="328"/>
      <c r="AD62" s="328"/>
      <c r="AE62" s="328"/>
      <c r="AF62" s="328"/>
      <c r="AG62" s="328"/>
      <c r="AH62" s="328"/>
      <c r="AI62" s="328"/>
      <c r="AJ62" s="328"/>
      <c r="AK62" s="328"/>
      <c r="AL62" s="328">
        <v>58200000</v>
      </c>
      <c r="AM62" s="328"/>
      <c r="AN62" s="328"/>
      <c r="AO62" s="436"/>
      <c r="AP62" s="436"/>
      <c r="AQ62" s="436"/>
      <c r="AR62" s="328"/>
      <c r="AS62" s="328"/>
      <c r="AT62" s="328"/>
      <c r="AU62" s="328">
        <f>SUM(T62,W61,Z62,AC62,AF62,AI62,AL62,AO62,AR62)</f>
        <v>58200000</v>
      </c>
      <c r="AV62" s="328">
        <f>SUM(U62,X61,AA62,AD62,AG62,AJ62,AM62,AP62,AS62)</f>
        <v>0</v>
      </c>
      <c r="AW62" s="328">
        <f>SUM(V62,Y61,AB62,AE62,AH62,AK62,AN62,AQ62,AT62)</f>
        <v>0</v>
      </c>
      <c r="AX62" s="385" t="s">
        <v>111</v>
      </c>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row>
    <row r="63" spans="1:129" s="332" customFormat="1" ht="80.25" customHeight="1" x14ac:dyDescent="0.25">
      <c r="A63" s="285">
        <v>308</v>
      </c>
      <c r="B63" s="385" t="s">
        <v>104</v>
      </c>
      <c r="C63" s="306"/>
      <c r="D63" s="386"/>
      <c r="E63" s="306">
        <v>2</v>
      </c>
      <c r="F63" s="386" t="s">
        <v>159</v>
      </c>
      <c r="G63" s="282" t="s">
        <v>211</v>
      </c>
      <c r="H63" s="386" t="s">
        <v>212</v>
      </c>
      <c r="I63" s="343" t="s">
        <v>213</v>
      </c>
      <c r="J63" s="386" t="s">
        <v>214</v>
      </c>
      <c r="K63" s="259" t="s">
        <v>215</v>
      </c>
      <c r="L63" s="386" t="s">
        <v>216</v>
      </c>
      <c r="M63" s="285">
        <v>170907800</v>
      </c>
      <c r="N63" s="417" t="s">
        <v>217</v>
      </c>
      <c r="O63" s="282" t="s">
        <v>67</v>
      </c>
      <c r="P63" s="272">
        <v>1</v>
      </c>
      <c r="Q63" s="419">
        <v>0</v>
      </c>
      <c r="R63" s="281">
        <v>2024003630030</v>
      </c>
      <c r="S63" s="385" t="s">
        <v>218</v>
      </c>
      <c r="T63" s="328"/>
      <c r="U63" s="328"/>
      <c r="V63" s="328"/>
      <c r="W63" s="328"/>
      <c r="X63" s="328"/>
      <c r="Y63" s="328"/>
      <c r="Z63" s="328"/>
      <c r="AA63" s="328"/>
      <c r="AB63" s="328"/>
      <c r="AC63" s="328"/>
      <c r="AD63" s="328"/>
      <c r="AE63" s="328"/>
      <c r="AF63" s="328"/>
      <c r="AG63" s="328"/>
      <c r="AH63" s="328"/>
      <c r="AI63" s="328"/>
      <c r="AJ63" s="328"/>
      <c r="AK63" s="328"/>
      <c r="AL63" s="328">
        <v>58200000</v>
      </c>
      <c r="AM63" s="328"/>
      <c r="AN63" s="328"/>
      <c r="AO63" s="436"/>
      <c r="AP63" s="436"/>
      <c r="AQ63" s="436"/>
      <c r="AR63" s="328"/>
      <c r="AS63" s="328"/>
      <c r="AT63" s="328"/>
      <c r="AU63" s="328">
        <f t="shared" ref="AU63:AU123" si="3">SUM(T63,W63,Z63,AC63,AF63,AI63,AL63,AO63,AR63)</f>
        <v>58200000</v>
      </c>
      <c r="AV63" s="328">
        <f>SUM(U63,X63,AA63,AD63,AG63,AJ63,AM63,AP63,AS63)</f>
        <v>0</v>
      </c>
      <c r="AW63" s="328">
        <f>SUM(V63,Y63,AB63,AE63,AH63,AK63,AN63,AQ63,AT63)</f>
        <v>0</v>
      </c>
      <c r="AX63" s="385" t="s">
        <v>111</v>
      </c>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row>
    <row r="64" spans="1:129" s="332" customFormat="1" ht="80.25" customHeight="1" x14ac:dyDescent="0.25">
      <c r="A64" s="285">
        <v>308</v>
      </c>
      <c r="B64" s="385" t="s">
        <v>104</v>
      </c>
      <c r="C64" s="306"/>
      <c r="D64" s="325"/>
      <c r="E64" s="306">
        <v>3</v>
      </c>
      <c r="F64" s="325" t="s">
        <v>147</v>
      </c>
      <c r="G64" s="343" t="s">
        <v>183</v>
      </c>
      <c r="H64" s="385" t="s">
        <v>169</v>
      </c>
      <c r="I64" s="282" t="s">
        <v>219</v>
      </c>
      <c r="J64" s="385" t="s">
        <v>220</v>
      </c>
      <c r="K64" s="313">
        <v>4002022</v>
      </c>
      <c r="L64" s="385" t="s">
        <v>221</v>
      </c>
      <c r="M64" s="285">
        <v>400202200</v>
      </c>
      <c r="N64" s="417" t="s">
        <v>221</v>
      </c>
      <c r="O64" s="282" t="s">
        <v>67</v>
      </c>
      <c r="P64" s="272">
        <v>50</v>
      </c>
      <c r="Q64" s="272">
        <v>50</v>
      </c>
      <c r="R64" s="281">
        <v>2024003630034</v>
      </c>
      <c r="S64" s="385" t="s">
        <v>222</v>
      </c>
      <c r="T64" s="328"/>
      <c r="U64" s="328"/>
      <c r="V64" s="328"/>
      <c r="W64" s="328"/>
      <c r="X64" s="328"/>
      <c r="Y64" s="328"/>
      <c r="Z64" s="328"/>
      <c r="AA64" s="328"/>
      <c r="AB64" s="328"/>
      <c r="AC64" s="328"/>
      <c r="AD64" s="328"/>
      <c r="AE64" s="328"/>
      <c r="AF64" s="328"/>
      <c r="AG64" s="328"/>
      <c r="AH64" s="328"/>
      <c r="AI64" s="328"/>
      <c r="AJ64" s="328"/>
      <c r="AK64" s="328"/>
      <c r="AL64" s="328">
        <v>35795909.380000003</v>
      </c>
      <c r="AM64" s="328"/>
      <c r="AN64" s="328"/>
      <c r="AO64" s="436"/>
      <c r="AP64" s="436"/>
      <c r="AQ64" s="436"/>
      <c r="AR64" s="328"/>
      <c r="AS64" s="328"/>
      <c r="AT64" s="328"/>
      <c r="AU64" s="328">
        <f t="shared" si="3"/>
        <v>35795909.380000003</v>
      </c>
      <c r="AV64" s="328">
        <f>SUM(U64,X64,AA64,AD64,AG64,AJ64,AM64,AP64,AS64)</f>
        <v>0</v>
      </c>
      <c r="AW64" s="328">
        <f>SUM(V64,Y64,AB64,AE64,AH64,AK64,AN64,AQ64,AT64)</f>
        <v>0</v>
      </c>
      <c r="AX64" s="385" t="s">
        <v>111</v>
      </c>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row>
    <row r="65" spans="1:129" s="331" customFormat="1" ht="80.25" customHeight="1" x14ac:dyDescent="0.25">
      <c r="A65" s="257">
        <v>309</v>
      </c>
      <c r="B65" s="376" t="s">
        <v>223</v>
      </c>
      <c r="C65" s="257">
        <v>1</v>
      </c>
      <c r="D65" s="376" t="s">
        <v>105</v>
      </c>
      <c r="E65" s="257">
        <v>4</v>
      </c>
      <c r="F65" s="376" t="s">
        <v>102</v>
      </c>
      <c r="G65" s="257">
        <v>12</v>
      </c>
      <c r="H65" s="376" t="s">
        <v>106</v>
      </c>
      <c r="I65" s="257">
        <v>1202</v>
      </c>
      <c r="J65" s="376" t="s">
        <v>107</v>
      </c>
      <c r="K65" s="257">
        <v>1202004</v>
      </c>
      <c r="L65" s="376" t="s">
        <v>224</v>
      </c>
      <c r="M65" s="256">
        <v>120200400</v>
      </c>
      <c r="N65" s="388" t="s">
        <v>84</v>
      </c>
      <c r="O65" s="378" t="s">
        <v>26</v>
      </c>
      <c r="P65" s="280">
        <v>12</v>
      </c>
      <c r="Q65" s="280">
        <v>7</v>
      </c>
      <c r="R65" s="380">
        <v>2020003630060</v>
      </c>
      <c r="S65" s="388" t="s">
        <v>225</v>
      </c>
      <c r="T65" s="381"/>
      <c r="U65" s="381"/>
      <c r="V65" s="381"/>
      <c r="W65" s="381"/>
      <c r="X65" s="381"/>
      <c r="Y65" s="381"/>
      <c r="Z65" s="381"/>
      <c r="AA65" s="381"/>
      <c r="AB65" s="381"/>
      <c r="AC65" s="381"/>
      <c r="AD65" s="381"/>
      <c r="AE65" s="381"/>
      <c r="AF65" s="381"/>
      <c r="AG65" s="381"/>
      <c r="AH65" s="381"/>
      <c r="AI65" s="381"/>
      <c r="AJ65" s="381"/>
      <c r="AK65" s="381"/>
      <c r="AL65" s="438">
        <f>80000000+358200000-344700000</f>
        <v>93500000</v>
      </c>
      <c r="AM65" s="438">
        <v>93500000</v>
      </c>
      <c r="AN65" s="438">
        <v>90500000</v>
      </c>
      <c r="AO65" s="381">
        <f>200000000-200000000</f>
        <v>0</v>
      </c>
      <c r="AP65" s="381"/>
      <c r="AQ65" s="381"/>
      <c r="AR65" s="381"/>
      <c r="AS65" s="381"/>
      <c r="AT65" s="381"/>
      <c r="AU65" s="381">
        <f t="shared" si="3"/>
        <v>93500000</v>
      </c>
      <c r="AV65" s="381">
        <f t="shared" ref="AV65:AW105" si="4">SUM(U65,X65,AA65,AD65,AG65,AJ65,AM65,AP65,AS65)</f>
        <v>93500000</v>
      </c>
      <c r="AW65" s="381">
        <f t="shared" ref="AW65:AW105" si="5">SUM(V65,Y65,AB65,AE65,AH65,AK65,AN65,AQ65,AT65)</f>
        <v>90500000</v>
      </c>
      <c r="AX65" s="392" t="s">
        <v>226</v>
      </c>
    </row>
    <row r="66" spans="1:129" s="332" customFormat="1" ht="80.25" customHeight="1" x14ac:dyDescent="0.25">
      <c r="A66" s="259">
        <v>309</v>
      </c>
      <c r="B66" s="325" t="s">
        <v>223</v>
      </c>
      <c r="C66" s="259"/>
      <c r="D66" s="386"/>
      <c r="E66" s="259">
        <v>4</v>
      </c>
      <c r="F66" s="386" t="s">
        <v>102</v>
      </c>
      <c r="G66" s="259">
        <v>12</v>
      </c>
      <c r="H66" s="385" t="s">
        <v>106</v>
      </c>
      <c r="I66" s="345">
        <v>1202</v>
      </c>
      <c r="J66" s="435" t="s">
        <v>227</v>
      </c>
      <c r="K66" s="345">
        <v>1202004</v>
      </c>
      <c r="L66" s="435" t="s">
        <v>228</v>
      </c>
      <c r="M66" s="287" t="s">
        <v>229</v>
      </c>
      <c r="N66" s="435" t="s">
        <v>230</v>
      </c>
      <c r="O66" s="345" t="s">
        <v>26</v>
      </c>
      <c r="P66" s="345">
        <v>12</v>
      </c>
      <c r="Q66" s="345" t="s">
        <v>1266</v>
      </c>
      <c r="R66" s="281">
        <v>2024003630078</v>
      </c>
      <c r="S66" s="333" t="s">
        <v>231</v>
      </c>
      <c r="T66" s="328"/>
      <c r="U66" s="328"/>
      <c r="V66" s="328"/>
      <c r="W66" s="328"/>
      <c r="X66" s="328"/>
      <c r="Y66" s="328"/>
      <c r="Z66" s="328"/>
      <c r="AA66" s="328"/>
      <c r="AB66" s="328"/>
      <c r="AC66" s="328"/>
      <c r="AD66" s="328"/>
      <c r="AE66" s="328"/>
      <c r="AF66" s="328"/>
      <c r="AG66" s="328"/>
      <c r="AH66" s="328"/>
      <c r="AI66" s="328"/>
      <c r="AJ66" s="328"/>
      <c r="AK66" s="328"/>
      <c r="AL66" s="404">
        <f>514700000-200000000</f>
        <v>314700000</v>
      </c>
      <c r="AM66" s="404">
        <v>91829999</v>
      </c>
      <c r="AN66" s="404">
        <v>51850000</v>
      </c>
      <c r="AO66" s="328">
        <v>200000000</v>
      </c>
      <c r="AP66" s="328"/>
      <c r="AQ66" s="328"/>
      <c r="AR66" s="328"/>
      <c r="AS66" s="328"/>
      <c r="AT66" s="328"/>
      <c r="AU66" s="328">
        <f t="shared" si="3"/>
        <v>514700000</v>
      </c>
      <c r="AV66" s="328">
        <f t="shared" si="4"/>
        <v>91829999</v>
      </c>
      <c r="AW66" s="328">
        <f t="shared" si="5"/>
        <v>51850000</v>
      </c>
      <c r="AX66" s="385" t="s">
        <v>226</v>
      </c>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row>
    <row r="67" spans="1:129" s="331" customFormat="1" ht="80.25" customHeight="1" x14ac:dyDescent="0.25">
      <c r="A67" s="257">
        <v>309</v>
      </c>
      <c r="B67" s="376" t="s">
        <v>223</v>
      </c>
      <c r="C67" s="257">
        <v>1</v>
      </c>
      <c r="D67" s="376" t="s">
        <v>105</v>
      </c>
      <c r="E67" s="257">
        <v>4</v>
      </c>
      <c r="F67" s="376" t="s">
        <v>102</v>
      </c>
      <c r="G67" s="257">
        <v>12</v>
      </c>
      <c r="H67" s="376" t="s">
        <v>106</v>
      </c>
      <c r="I67" s="257">
        <v>1203</v>
      </c>
      <c r="J67" s="376" t="s">
        <v>232</v>
      </c>
      <c r="K67" s="257">
        <v>1203002</v>
      </c>
      <c r="L67" s="376" t="s">
        <v>233</v>
      </c>
      <c r="M67" s="257">
        <v>120300200</v>
      </c>
      <c r="N67" s="388" t="s">
        <v>234</v>
      </c>
      <c r="O67" s="439" t="s">
        <v>67</v>
      </c>
      <c r="P67" s="280">
        <v>50</v>
      </c>
      <c r="Q67" s="280">
        <v>32</v>
      </c>
      <c r="R67" s="380">
        <v>2020003630061</v>
      </c>
      <c r="S67" s="388" t="s">
        <v>1211</v>
      </c>
      <c r="T67" s="381"/>
      <c r="U67" s="381"/>
      <c r="V67" s="381"/>
      <c r="W67" s="381"/>
      <c r="X67" s="381"/>
      <c r="Y67" s="381"/>
      <c r="Z67" s="381"/>
      <c r="AA67" s="381"/>
      <c r="AB67" s="381"/>
      <c r="AC67" s="381"/>
      <c r="AD67" s="381"/>
      <c r="AE67" s="381"/>
      <c r="AF67" s="381"/>
      <c r="AG67" s="381"/>
      <c r="AH67" s="381"/>
      <c r="AI67" s="381"/>
      <c r="AJ67" s="381"/>
      <c r="AK67" s="381"/>
      <c r="AL67" s="400">
        <f>40000000+15000000-25100000</f>
        <v>29900000</v>
      </c>
      <c r="AM67" s="400">
        <v>29900000</v>
      </c>
      <c r="AN67" s="400">
        <v>29900000</v>
      </c>
      <c r="AO67" s="381"/>
      <c r="AP67" s="381"/>
      <c r="AQ67" s="381"/>
      <c r="AR67" s="381"/>
      <c r="AS67" s="381"/>
      <c r="AT67" s="381"/>
      <c r="AU67" s="381">
        <f t="shared" si="3"/>
        <v>29900000</v>
      </c>
      <c r="AV67" s="381">
        <f t="shared" si="4"/>
        <v>29900000</v>
      </c>
      <c r="AW67" s="381">
        <f t="shared" si="5"/>
        <v>29900000</v>
      </c>
      <c r="AX67" s="392" t="s">
        <v>226</v>
      </c>
    </row>
    <row r="68" spans="1:129" s="332" customFormat="1" ht="80.25" customHeight="1" x14ac:dyDescent="0.25">
      <c r="A68" s="259">
        <v>309</v>
      </c>
      <c r="B68" s="325" t="s">
        <v>223</v>
      </c>
      <c r="C68" s="259"/>
      <c r="D68" s="386"/>
      <c r="E68" s="259">
        <v>4</v>
      </c>
      <c r="F68" s="386" t="s">
        <v>102</v>
      </c>
      <c r="G68" s="259">
        <v>12</v>
      </c>
      <c r="H68" s="385" t="s">
        <v>106</v>
      </c>
      <c r="I68" s="259">
        <v>1203</v>
      </c>
      <c r="J68" s="385" t="s">
        <v>232</v>
      </c>
      <c r="K68" s="259">
        <v>1203002</v>
      </c>
      <c r="L68" s="385" t="s">
        <v>233</v>
      </c>
      <c r="M68" s="259">
        <v>120300200</v>
      </c>
      <c r="N68" s="385" t="s">
        <v>234</v>
      </c>
      <c r="O68" s="345" t="s">
        <v>26</v>
      </c>
      <c r="P68" s="272">
        <v>12</v>
      </c>
      <c r="Q68" s="272">
        <v>11</v>
      </c>
      <c r="R68" s="281">
        <v>2024003630082</v>
      </c>
      <c r="S68" s="333" t="s">
        <v>1212</v>
      </c>
      <c r="T68" s="328"/>
      <c r="U68" s="328"/>
      <c r="V68" s="328"/>
      <c r="W68" s="328"/>
      <c r="X68" s="328"/>
      <c r="Y68" s="328"/>
      <c r="Z68" s="328"/>
      <c r="AA68" s="328"/>
      <c r="AB68" s="328"/>
      <c r="AC68" s="328"/>
      <c r="AD68" s="328"/>
      <c r="AE68" s="328"/>
      <c r="AF68" s="328"/>
      <c r="AG68" s="328"/>
      <c r="AH68" s="328"/>
      <c r="AI68" s="328"/>
      <c r="AJ68" s="328"/>
      <c r="AK68" s="328"/>
      <c r="AL68" s="404">
        <v>25100000</v>
      </c>
      <c r="AM68" s="328">
        <v>15789999</v>
      </c>
      <c r="AN68" s="328">
        <v>12000000</v>
      </c>
      <c r="AO68" s="328"/>
      <c r="AP68" s="328"/>
      <c r="AQ68" s="328"/>
      <c r="AR68" s="328"/>
      <c r="AS68" s="328"/>
      <c r="AT68" s="328"/>
      <c r="AU68" s="328">
        <f t="shared" si="3"/>
        <v>25100000</v>
      </c>
      <c r="AV68" s="328">
        <f t="shared" si="4"/>
        <v>15789999</v>
      </c>
      <c r="AW68" s="328">
        <f t="shared" si="5"/>
        <v>12000000</v>
      </c>
      <c r="AX68" s="385" t="s">
        <v>226</v>
      </c>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row>
    <row r="69" spans="1:129" s="331" customFormat="1" ht="80.25" customHeight="1" x14ac:dyDescent="0.25">
      <c r="A69" s="257">
        <v>309</v>
      </c>
      <c r="B69" s="376" t="s">
        <v>223</v>
      </c>
      <c r="C69" s="257">
        <v>1</v>
      </c>
      <c r="D69" s="376" t="s">
        <v>105</v>
      </c>
      <c r="E69" s="257">
        <v>4</v>
      </c>
      <c r="F69" s="376" t="s">
        <v>102</v>
      </c>
      <c r="G69" s="257">
        <v>12</v>
      </c>
      <c r="H69" s="376" t="s">
        <v>106</v>
      </c>
      <c r="I69" s="257">
        <v>1206</v>
      </c>
      <c r="J69" s="376" t="s">
        <v>235</v>
      </c>
      <c r="K69" s="257">
        <v>1206005</v>
      </c>
      <c r="L69" s="376" t="s">
        <v>236</v>
      </c>
      <c r="M69" s="256">
        <v>120600500</v>
      </c>
      <c r="N69" s="388" t="s">
        <v>237</v>
      </c>
      <c r="O69" s="439" t="s">
        <v>67</v>
      </c>
      <c r="P69" s="280">
        <v>35</v>
      </c>
      <c r="Q69" s="280">
        <v>8</v>
      </c>
      <c r="R69" s="380">
        <v>2020003630062</v>
      </c>
      <c r="S69" s="388" t="s">
        <v>238</v>
      </c>
      <c r="T69" s="381"/>
      <c r="U69" s="381"/>
      <c r="V69" s="381"/>
      <c r="W69" s="381"/>
      <c r="X69" s="381"/>
      <c r="Y69" s="381"/>
      <c r="Z69" s="381"/>
      <c r="AA69" s="381"/>
      <c r="AB69" s="381"/>
      <c r="AC69" s="381"/>
      <c r="AD69" s="381"/>
      <c r="AE69" s="381"/>
      <c r="AF69" s="381"/>
      <c r="AG69" s="381"/>
      <c r="AH69" s="381"/>
      <c r="AI69" s="381"/>
      <c r="AJ69" s="381"/>
      <c r="AK69" s="381"/>
      <c r="AL69" s="400">
        <f>40000000+16000000-19550000</f>
        <v>36450000</v>
      </c>
      <c r="AM69" s="400">
        <v>36450000</v>
      </c>
      <c r="AN69" s="381">
        <v>36450000</v>
      </c>
      <c r="AO69" s="381"/>
      <c r="AP69" s="381"/>
      <c r="AQ69" s="381"/>
      <c r="AR69" s="381"/>
      <c r="AS69" s="381"/>
      <c r="AT69" s="381"/>
      <c r="AU69" s="381">
        <f t="shared" si="3"/>
        <v>36450000</v>
      </c>
      <c r="AV69" s="381">
        <f t="shared" si="4"/>
        <v>36450000</v>
      </c>
      <c r="AW69" s="381">
        <f t="shared" si="5"/>
        <v>36450000</v>
      </c>
      <c r="AX69" s="392" t="s">
        <v>226</v>
      </c>
    </row>
    <row r="70" spans="1:129" s="332" customFormat="1" ht="80.25" customHeight="1" x14ac:dyDescent="0.25">
      <c r="A70" s="259">
        <v>309</v>
      </c>
      <c r="B70" s="325" t="s">
        <v>223</v>
      </c>
      <c r="C70" s="259"/>
      <c r="D70" s="386"/>
      <c r="E70" s="259">
        <v>4</v>
      </c>
      <c r="F70" s="386" t="s">
        <v>102</v>
      </c>
      <c r="G70" s="259">
        <v>12</v>
      </c>
      <c r="H70" s="385" t="s">
        <v>106</v>
      </c>
      <c r="I70" s="345">
        <v>1206</v>
      </c>
      <c r="J70" s="435" t="s">
        <v>235</v>
      </c>
      <c r="K70" s="259">
        <v>1206005</v>
      </c>
      <c r="L70" s="435" t="s">
        <v>236</v>
      </c>
      <c r="M70" s="287" t="s">
        <v>239</v>
      </c>
      <c r="N70" s="435" t="s">
        <v>240</v>
      </c>
      <c r="O70" s="345" t="s">
        <v>26</v>
      </c>
      <c r="P70" s="345">
        <v>400</v>
      </c>
      <c r="Q70" s="345" t="s">
        <v>1267</v>
      </c>
      <c r="R70" s="281">
        <v>2024003630098</v>
      </c>
      <c r="S70" s="333" t="s">
        <v>241</v>
      </c>
      <c r="T70" s="328"/>
      <c r="U70" s="328"/>
      <c r="V70" s="328"/>
      <c r="W70" s="328"/>
      <c r="X70" s="328"/>
      <c r="Y70" s="328"/>
      <c r="Z70" s="328"/>
      <c r="AA70" s="328"/>
      <c r="AB70" s="328"/>
      <c r="AC70" s="328"/>
      <c r="AD70" s="328"/>
      <c r="AE70" s="328"/>
      <c r="AF70" s="328"/>
      <c r="AG70" s="328"/>
      <c r="AH70" s="328"/>
      <c r="AI70" s="328"/>
      <c r="AJ70" s="328"/>
      <c r="AK70" s="328"/>
      <c r="AL70" s="404">
        <v>49550000</v>
      </c>
      <c r="AM70" s="404">
        <v>49356200</v>
      </c>
      <c r="AN70" s="404">
        <v>8850000</v>
      </c>
      <c r="AO70" s="328"/>
      <c r="AP70" s="328"/>
      <c r="AQ70" s="328"/>
      <c r="AR70" s="328"/>
      <c r="AS70" s="328"/>
      <c r="AT70" s="328"/>
      <c r="AU70" s="328">
        <f t="shared" si="3"/>
        <v>49550000</v>
      </c>
      <c r="AV70" s="328">
        <f t="shared" si="4"/>
        <v>49356200</v>
      </c>
      <c r="AW70" s="328">
        <f t="shared" si="5"/>
        <v>8850000</v>
      </c>
      <c r="AX70" s="385" t="s">
        <v>226</v>
      </c>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row>
    <row r="71" spans="1:129" s="331" customFormat="1" ht="80.25" customHeight="1" x14ac:dyDescent="0.25">
      <c r="A71" s="257">
        <v>309</v>
      </c>
      <c r="B71" s="376" t="s">
        <v>223</v>
      </c>
      <c r="C71" s="257">
        <v>1</v>
      </c>
      <c r="D71" s="376" t="s">
        <v>105</v>
      </c>
      <c r="E71" s="257">
        <v>1</v>
      </c>
      <c r="F71" s="376" t="s">
        <v>112</v>
      </c>
      <c r="G71" s="257">
        <v>22</v>
      </c>
      <c r="H71" s="376" t="s">
        <v>113</v>
      </c>
      <c r="I71" s="257">
        <v>2201</v>
      </c>
      <c r="J71" s="376" t="s">
        <v>114</v>
      </c>
      <c r="K71" s="257">
        <v>2201068</v>
      </c>
      <c r="L71" s="376" t="s">
        <v>242</v>
      </c>
      <c r="M71" s="256">
        <v>220106800</v>
      </c>
      <c r="N71" s="388" t="s">
        <v>243</v>
      </c>
      <c r="O71" s="439" t="s">
        <v>67</v>
      </c>
      <c r="P71" s="280">
        <v>72</v>
      </c>
      <c r="Q71" s="280">
        <v>12</v>
      </c>
      <c r="R71" s="380">
        <v>2020003630063</v>
      </c>
      <c r="S71" s="388" t="s">
        <v>244</v>
      </c>
      <c r="T71" s="381"/>
      <c r="U71" s="381"/>
      <c r="V71" s="381"/>
      <c r="W71" s="381"/>
      <c r="X71" s="381"/>
      <c r="Y71" s="381"/>
      <c r="Z71" s="381"/>
      <c r="AA71" s="381"/>
      <c r="AB71" s="381"/>
      <c r="AC71" s="381"/>
      <c r="AD71" s="381"/>
      <c r="AE71" s="381"/>
      <c r="AF71" s="381"/>
      <c r="AG71" s="381"/>
      <c r="AH71" s="381"/>
      <c r="AI71" s="381"/>
      <c r="AJ71" s="381"/>
      <c r="AK71" s="381"/>
      <c r="AL71" s="400">
        <f>60000000+41300000-13000000-27600000</f>
        <v>60700000</v>
      </c>
      <c r="AM71" s="400">
        <v>60700000</v>
      </c>
      <c r="AN71" s="400">
        <v>60700000</v>
      </c>
      <c r="AO71" s="381"/>
      <c r="AP71" s="381"/>
      <c r="AQ71" s="381"/>
      <c r="AR71" s="381"/>
      <c r="AS71" s="381"/>
      <c r="AT71" s="381"/>
      <c r="AU71" s="381">
        <f t="shared" si="3"/>
        <v>60700000</v>
      </c>
      <c r="AV71" s="381">
        <f t="shared" si="4"/>
        <v>60700000</v>
      </c>
      <c r="AW71" s="381">
        <f t="shared" si="5"/>
        <v>60700000</v>
      </c>
      <c r="AX71" s="392" t="s">
        <v>226</v>
      </c>
    </row>
    <row r="72" spans="1:129" s="332" customFormat="1" ht="111" customHeight="1" x14ac:dyDescent="0.25">
      <c r="A72" s="259">
        <v>309</v>
      </c>
      <c r="B72" s="325" t="s">
        <v>223</v>
      </c>
      <c r="C72" s="259"/>
      <c r="D72" s="325"/>
      <c r="E72" s="259">
        <v>1</v>
      </c>
      <c r="F72" s="325" t="s">
        <v>112</v>
      </c>
      <c r="G72" s="305">
        <v>22</v>
      </c>
      <c r="H72" s="440" t="s">
        <v>113</v>
      </c>
      <c r="I72" s="259">
        <v>2201</v>
      </c>
      <c r="J72" s="325" t="s">
        <v>114</v>
      </c>
      <c r="K72" s="281">
        <v>2201068</v>
      </c>
      <c r="L72" s="325" t="s">
        <v>245</v>
      </c>
      <c r="M72" s="279">
        <v>220106800</v>
      </c>
      <c r="N72" s="333" t="s">
        <v>246</v>
      </c>
      <c r="O72" s="441" t="s">
        <v>67</v>
      </c>
      <c r="P72" s="272">
        <v>66</v>
      </c>
      <c r="Q72" s="272">
        <v>61</v>
      </c>
      <c r="R72" s="281">
        <v>2024003630095</v>
      </c>
      <c r="S72" s="442" t="s">
        <v>247</v>
      </c>
      <c r="T72" s="328"/>
      <c r="U72" s="328"/>
      <c r="V72" s="328"/>
      <c r="W72" s="328"/>
      <c r="X72" s="328"/>
      <c r="Y72" s="328"/>
      <c r="Z72" s="328"/>
      <c r="AA72" s="328"/>
      <c r="AB72" s="328"/>
      <c r="AC72" s="328"/>
      <c r="AD72" s="328"/>
      <c r="AE72" s="328"/>
      <c r="AF72" s="328"/>
      <c r="AG72" s="328"/>
      <c r="AH72" s="328"/>
      <c r="AI72" s="328"/>
      <c r="AJ72" s="328"/>
      <c r="AK72" s="328"/>
      <c r="AL72" s="404">
        <v>27600000</v>
      </c>
      <c r="AM72" s="328">
        <v>25433333</v>
      </c>
      <c r="AN72" s="328">
        <v>9700000</v>
      </c>
      <c r="AO72" s="328"/>
      <c r="AP72" s="328"/>
      <c r="AQ72" s="328"/>
      <c r="AR72" s="328"/>
      <c r="AS72" s="328"/>
      <c r="AT72" s="328"/>
      <c r="AU72" s="328">
        <f t="shared" si="3"/>
        <v>27600000</v>
      </c>
      <c r="AV72" s="328">
        <f t="shared" si="4"/>
        <v>25433333</v>
      </c>
      <c r="AW72" s="328">
        <f t="shared" si="5"/>
        <v>9700000</v>
      </c>
      <c r="AX72" s="385" t="s">
        <v>226</v>
      </c>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row>
    <row r="73" spans="1:129" s="331" customFormat="1" ht="80.25" customHeight="1" x14ac:dyDescent="0.25">
      <c r="A73" s="257">
        <v>309</v>
      </c>
      <c r="B73" s="376" t="s">
        <v>223</v>
      </c>
      <c r="C73" s="257">
        <v>1</v>
      </c>
      <c r="D73" s="376" t="s">
        <v>105</v>
      </c>
      <c r="E73" s="257">
        <v>1</v>
      </c>
      <c r="F73" s="376" t="s">
        <v>112</v>
      </c>
      <c r="G73" s="257">
        <v>41</v>
      </c>
      <c r="H73" s="376" t="s">
        <v>129</v>
      </c>
      <c r="I73" s="257">
        <v>4101</v>
      </c>
      <c r="J73" s="376" t="s">
        <v>248</v>
      </c>
      <c r="K73" s="257">
        <v>4101023</v>
      </c>
      <c r="L73" s="376" t="s">
        <v>249</v>
      </c>
      <c r="M73" s="256">
        <v>410102300</v>
      </c>
      <c r="N73" s="388" t="s">
        <v>250</v>
      </c>
      <c r="O73" s="439" t="s">
        <v>67</v>
      </c>
      <c r="P73" s="280">
        <v>900</v>
      </c>
      <c r="Q73" s="280">
        <v>504</v>
      </c>
      <c r="R73" s="380">
        <v>2020003630064</v>
      </c>
      <c r="S73" s="388" t="s">
        <v>251</v>
      </c>
      <c r="T73" s="381"/>
      <c r="U73" s="381"/>
      <c r="V73" s="381"/>
      <c r="W73" s="381"/>
      <c r="X73" s="381"/>
      <c r="Y73" s="381"/>
      <c r="Z73" s="381"/>
      <c r="AA73" s="381"/>
      <c r="AB73" s="381"/>
      <c r="AC73" s="381"/>
      <c r="AD73" s="381"/>
      <c r="AE73" s="381"/>
      <c r="AF73" s="381"/>
      <c r="AG73" s="381"/>
      <c r="AH73" s="381"/>
      <c r="AI73" s="381"/>
      <c r="AJ73" s="381"/>
      <c r="AK73" s="381"/>
      <c r="AL73" s="400">
        <f>90000000+63500000-42400000</f>
        <v>111100000</v>
      </c>
      <c r="AM73" s="400">
        <v>111100000</v>
      </c>
      <c r="AN73" s="400">
        <v>111100000</v>
      </c>
      <c r="AO73" s="381"/>
      <c r="AP73" s="381"/>
      <c r="AQ73" s="381"/>
      <c r="AR73" s="381"/>
      <c r="AS73" s="381"/>
      <c r="AT73" s="381"/>
      <c r="AU73" s="381">
        <f t="shared" si="3"/>
        <v>111100000</v>
      </c>
      <c r="AV73" s="381">
        <f t="shared" si="4"/>
        <v>111100000</v>
      </c>
      <c r="AW73" s="381">
        <f t="shared" si="5"/>
        <v>111100000</v>
      </c>
      <c r="AX73" s="392" t="s">
        <v>226</v>
      </c>
    </row>
    <row r="74" spans="1:129" s="331" customFormat="1" ht="80.25" customHeight="1" x14ac:dyDescent="0.25">
      <c r="A74" s="257">
        <v>309</v>
      </c>
      <c r="B74" s="376" t="s">
        <v>223</v>
      </c>
      <c r="C74" s="257">
        <v>1</v>
      </c>
      <c r="D74" s="376" t="s">
        <v>105</v>
      </c>
      <c r="E74" s="257">
        <v>1</v>
      </c>
      <c r="F74" s="376" t="s">
        <v>112</v>
      </c>
      <c r="G74" s="257">
        <v>41</v>
      </c>
      <c r="H74" s="376" t="s">
        <v>129</v>
      </c>
      <c r="I74" s="257">
        <v>4101</v>
      </c>
      <c r="J74" s="376" t="s">
        <v>248</v>
      </c>
      <c r="K74" s="257">
        <v>4101025</v>
      </c>
      <c r="L74" s="376" t="s">
        <v>252</v>
      </c>
      <c r="M74" s="275">
        <v>410102511</v>
      </c>
      <c r="N74" s="326" t="s">
        <v>253</v>
      </c>
      <c r="O74" s="439" t="s">
        <v>67</v>
      </c>
      <c r="P74" s="280">
        <v>50</v>
      </c>
      <c r="Q74" s="280">
        <v>7</v>
      </c>
      <c r="R74" s="380">
        <v>2020003630064</v>
      </c>
      <c r="S74" s="388" t="s">
        <v>251</v>
      </c>
      <c r="T74" s="381"/>
      <c r="U74" s="381"/>
      <c r="V74" s="381"/>
      <c r="W74" s="381"/>
      <c r="X74" s="381"/>
      <c r="Y74" s="381"/>
      <c r="Z74" s="381"/>
      <c r="AA74" s="381"/>
      <c r="AB74" s="381"/>
      <c r="AC74" s="381"/>
      <c r="AD74" s="381"/>
      <c r="AE74" s="381"/>
      <c r="AF74" s="381"/>
      <c r="AG74" s="381"/>
      <c r="AH74" s="381"/>
      <c r="AI74" s="381"/>
      <c r="AJ74" s="381"/>
      <c r="AK74" s="381"/>
      <c r="AL74" s="400">
        <f>50000000+3000000-47498000</f>
        <v>5502000</v>
      </c>
      <c r="AM74" s="400">
        <v>5502000</v>
      </c>
      <c r="AN74" s="400">
        <v>5502000</v>
      </c>
      <c r="AO74" s="381"/>
      <c r="AP74" s="381"/>
      <c r="AQ74" s="381"/>
      <c r="AR74" s="381"/>
      <c r="AS74" s="381"/>
      <c r="AT74" s="381"/>
      <c r="AU74" s="381">
        <f t="shared" si="3"/>
        <v>5502000</v>
      </c>
      <c r="AV74" s="381">
        <f t="shared" si="4"/>
        <v>5502000</v>
      </c>
      <c r="AW74" s="381">
        <f t="shared" si="5"/>
        <v>5502000</v>
      </c>
      <c r="AX74" s="392" t="s">
        <v>226</v>
      </c>
    </row>
    <row r="75" spans="1:129" s="331" customFormat="1" ht="80.25" customHeight="1" x14ac:dyDescent="0.25">
      <c r="A75" s="257">
        <v>309</v>
      </c>
      <c r="B75" s="376" t="s">
        <v>223</v>
      </c>
      <c r="C75" s="257">
        <v>1</v>
      </c>
      <c r="D75" s="376" t="s">
        <v>105</v>
      </c>
      <c r="E75" s="257">
        <v>1</v>
      </c>
      <c r="F75" s="376" t="s">
        <v>112</v>
      </c>
      <c r="G75" s="257">
        <v>41</v>
      </c>
      <c r="H75" s="376" t="s">
        <v>129</v>
      </c>
      <c r="I75" s="257">
        <v>4101</v>
      </c>
      <c r="J75" s="376" t="s">
        <v>248</v>
      </c>
      <c r="K75" s="257">
        <v>4101038</v>
      </c>
      <c r="L75" s="376" t="s">
        <v>254</v>
      </c>
      <c r="M75" s="256">
        <v>410103800</v>
      </c>
      <c r="N75" s="388" t="s">
        <v>255</v>
      </c>
      <c r="O75" s="439" t="s">
        <v>67</v>
      </c>
      <c r="P75" s="280">
        <v>12</v>
      </c>
      <c r="Q75" s="280">
        <v>6</v>
      </c>
      <c r="R75" s="380">
        <v>2020003630064</v>
      </c>
      <c r="S75" s="388" t="s">
        <v>251</v>
      </c>
      <c r="T75" s="381"/>
      <c r="U75" s="381"/>
      <c r="V75" s="381"/>
      <c r="W75" s="381"/>
      <c r="X75" s="381"/>
      <c r="Y75" s="381"/>
      <c r="Z75" s="381"/>
      <c r="AA75" s="381"/>
      <c r="AB75" s="381"/>
      <c r="AC75" s="381"/>
      <c r="AD75" s="381"/>
      <c r="AE75" s="381"/>
      <c r="AF75" s="381"/>
      <c r="AG75" s="381"/>
      <c r="AH75" s="381"/>
      <c r="AI75" s="381"/>
      <c r="AJ75" s="381"/>
      <c r="AK75" s="381"/>
      <c r="AL75" s="400">
        <f>50000000+6000000-41483073</f>
        <v>14516927</v>
      </c>
      <c r="AM75" s="400">
        <v>14516927</v>
      </c>
      <c r="AN75" s="400">
        <v>13516927</v>
      </c>
      <c r="AO75" s="381"/>
      <c r="AP75" s="381"/>
      <c r="AQ75" s="381"/>
      <c r="AR75" s="381"/>
      <c r="AS75" s="381"/>
      <c r="AT75" s="381"/>
      <c r="AU75" s="381">
        <f t="shared" si="3"/>
        <v>14516927</v>
      </c>
      <c r="AV75" s="381">
        <f t="shared" si="4"/>
        <v>14516927</v>
      </c>
      <c r="AW75" s="381">
        <f t="shared" si="5"/>
        <v>13516927</v>
      </c>
      <c r="AX75" s="392" t="s">
        <v>226</v>
      </c>
    </row>
    <row r="76" spans="1:129" s="331" customFormat="1" ht="80.25" customHeight="1" x14ac:dyDescent="0.25">
      <c r="A76" s="257">
        <v>309</v>
      </c>
      <c r="B76" s="376" t="s">
        <v>223</v>
      </c>
      <c r="C76" s="257">
        <v>1</v>
      </c>
      <c r="D76" s="376" t="s">
        <v>105</v>
      </c>
      <c r="E76" s="257">
        <v>1</v>
      </c>
      <c r="F76" s="376" t="s">
        <v>112</v>
      </c>
      <c r="G76" s="257">
        <v>41</v>
      </c>
      <c r="H76" s="376" t="s">
        <v>129</v>
      </c>
      <c r="I76" s="257">
        <v>4101</v>
      </c>
      <c r="J76" s="376" t="s">
        <v>248</v>
      </c>
      <c r="K76" s="257">
        <v>4101011</v>
      </c>
      <c r="L76" s="376" t="s">
        <v>258</v>
      </c>
      <c r="M76" s="256">
        <v>410101100</v>
      </c>
      <c r="N76" s="388" t="s">
        <v>259</v>
      </c>
      <c r="O76" s="439" t="s">
        <v>67</v>
      </c>
      <c r="P76" s="280">
        <v>3</v>
      </c>
      <c r="Q76" s="280">
        <v>4</v>
      </c>
      <c r="R76" s="380">
        <v>2020003630064</v>
      </c>
      <c r="S76" s="388" t="s">
        <v>251</v>
      </c>
      <c r="T76" s="381"/>
      <c r="U76" s="381"/>
      <c r="V76" s="381"/>
      <c r="W76" s="381"/>
      <c r="X76" s="381"/>
      <c r="Y76" s="381"/>
      <c r="Z76" s="381"/>
      <c r="AA76" s="381"/>
      <c r="AB76" s="381"/>
      <c r="AC76" s="381"/>
      <c r="AD76" s="381"/>
      <c r="AE76" s="381"/>
      <c r="AF76" s="381"/>
      <c r="AG76" s="381"/>
      <c r="AH76" s="381"/>
      <c r="AI76" s="381"/>
      <c r="AJ76" s="381"/>
      <c r="AK76" s="381"/>
      <c r="AL76" s="400">
        <f>20000000+10700000-12300000</f>
        <v>18400000</v>
      </c>
      <c r="AM76" s="400">
        <v>18400000</v>
      </c>
      <c r="AN76" s="400">
        <v>18400000</v>
      </c>
      <c r="AO76" s="381"/>
      <c r="AP76" s="381"/>
      <c r="AQ76" s="381"/>
      <c r="AR76" s="381"/>
      <c r="AS76" s="381"/>
      <c r="AT76" s="381"/>
      <c r="AU76" s="381">
        <f t="shared" si="3"/>
        <v>18400000</v>
      </c>
      <c r="AV76" s="381">
        <f t="shared" si="4"/>
        <v>18400000</v>
      </c>
      <c r="AW76" s="381">
        <f t="shared" si="5"/>
        <v>18400000</v>
      </c>
      <c r="AX76" s="392" t="s">
        <v>226</v>
      </c>
    </row>
    <row r="77" spans="1:129" s="332" customFormat="1" ht="80.25" customHeight="1" x14ac:dyDescent="0.25">
      <c r="A77" s="259">
        <v>309</v>
      </c>
      <c r="B77" s="325" t="s">
        <v>223</v>
      </c>
      <c r="C77" s="313"/>
      <c r="D77" s="325"/>
      <c r="E77" s="313">
        <v>1</v>
      </c>
      <c r="F77" s="325" t="s">
        <v>112</v>
      </c>
      <c r="G77" s="345">
        <v>41</v>
      </c>
      <c r="H77" s="435" t="s">
        <v>129</v>
      </c>
      <c r="I77" s="345">
        <v>4101</v>
      </c>
      <c r="J77" s="435" t="s">
        <v>248</v>
      </c>
      <c r="K77" s="281" t="s">
        <v>260</v>
      </c>
      <c r="L77" s="435" t="s">
        <v>252</v>
      </c>
      <c r="M77" s="443" t="s">
        <v>261</v>
      </c>
      <c r="N77" s="444" t="s">
        <v>262</v>
      </c>
      <c r="O77" s="441" t="s">
        <v>67</v>
      </c>
      <c r="P77" s="345">
        <v>125</v>
      </c>
      <c r="Q77" s="345" t="s">
        <v>1270</v>
      </c>
      <c r="R77" s="281">
        <v>2024003630077</v>
      </c>
      <c r="S77" s="333" t="s">
        <v>263</v>
      </c>
      <c r="T77" s="328"/>
      <c r="U77" s="328"/>
      <c r="V77" s="328"/>
      <c r="W77" s="328"/>
      <c r="X77" s="328"/>
      <c r="Y77" s="328"/>
      <c r="Z77" s="328"/>
      <c r="AA77" s="328"/>
      <c r="AB77" s="328"/>
      <c r="AC77" s="328"/>
      <c r="AD77" s="328"/>
      <c r="AE77" s="328"/>
      <c r="AF77" s="328"/>
      <c r="AG77" s="328"/>
      <c r="AH77" s="328"/>
      <c r="AI77" s="328"/>
      <c r="AJ77" s="328"/>
      <c r="AK77" s="328"/>
      <c r="AL77" s="404">
        <f>47498000-20000000</f>
        <v>27498000</v>
      </c>
      <c r="AM77" s="404">
        <v>18000000</v>
      </c>
      <c r="AN77" s="404">
        <v>11600000</v>
      </c>
      <c r="AO77" s="328"/>
      <c r="AP77" s="328"/>
      <c r="AQ77" s="328"/>
      <c r="AR77" s="328"/>
      <c r="AS77" s="328"/>
      <c r="AT77" s="328"/>
      <c r="AU77" s="328">
        <f t="shared" si="3"/>
        <v>27498000</v>
      </c>
      <c r="AV77" s="328">
        <f t="shared" si="4"/>
        <v>18000000</v>
      </c>
      <c r="AW77" s="328">
        <f t="shared" si="5"/>
        <v>11600000</v>
      </c>
      <c r="AX77" s="385" t="s">
        <v>226</v>
      </c>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row>
    <row r="78" spans="1:129" s="332" customFormat="1" ht="80.25" customHeight="1" x14ac:dyDescent="0.25">
      <c r="A78" s="259">
        <v>309</v>
      </c>
      <c r="B78" s="325" t="s">
        <v>223</v>
      </c>
      <c r="C78" s="313"/>
      <c r="D78" s="325"/>
      <c r="E78" s="313">
        <v>1</v>
      </c>
      <c r="F78" s="325" t="s">
        <v>112</v>
      </c>
      <c r="G78" s="345">
        <v>41</v>
      </c>
      <c r="H78" s="435" t="s">
        <v>129</v>
      </c>
      <c r="I78" s="345">
        <v>4101</v>
      </c>
      <c r="J78" s="435" t="s">
        <v>248</v>
      </c>
      <c r="K78" s="259">
        <v>4101011</v>
      </c>
      <c r="L78" s="435" t="s">
        <v>258</v>
      </c>
      <c r="M78" s="287" t="s">
        <v>264</v>
      </c>
      <c r="N78" s="435" t="s">
        <v>259</v>
      </c>
      <c r="O78" s="345" t="s">
        <v>26</v>
      </c>
      <c r="P78" s="345">
        <v>12</v>
      </c>
      <c r="Q78" s="345" t="s">
        <v>1268</v>
      </c>
      <c r="R78" s="281">
        <v>2024003630077</v>
      </c>
      <c r="S78" s="333" t="s">
        <v>263</v>
      </c>
      <c r="T78" s="328"/>
      <c r="U78" s="328"/>
      <c r="V78" s="328"/>
      <c r="W78" s="328"/>
      <c r="X78" s="328"/>
      <c r="Y78" s="328"/>
      <c r="Z78" s="328"/>
      <c r="AA78" s="328"/>
      <c r="AB78" s="328"/>
      <c r="AC78" s="328"/>
      <c r="AD78" s="328"/>
      <c r="AE78" s="328"/>
      <c r="AF78" s="328"/>
      <c r="AG78" s="328"/>
      <c r="AH78" s="328"/>
      <c r="AI78" s="328"/>
      <c r="AJ78" s="328"/>
      <c r="AK78" s="328"/>
      <c r="AL78" s="404">
        <f>12300000+1000000</f>
        <v>13300000</v>
      </c>
      <c r="AM78" s="404">
        <v>10820000</v>
      </c>
      <c r="AN78" s="404">
        <v>8500000</v>
      </c>
      <c r="AO78" s="328"/>
      <c r="AP78" s="328"/>
      <c r="AQ78" s="328"/>
      <c r="AR78" s="328"/>
      <c r="AS78" s="328"/>
      <c r="AT78" s="328"/>
      <c r="AU78" s="328">
        <f t="shared" si="3"/>
        <v>13300000</v>
      </c>
      <c r="AV78" s="328">
        <f t="shared" si="4"/>
        <v>10820000</v>
      </c>
      <c r="AW78" s="328">
        <f t="shared" si="5"/>
        <v>8500000</v>
      </c>
      <c r="AX78" s="385" t="s">
        <v>226</v>
      </c>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row>
    <row r="79" spans="1:129" s="332" customFormat="1" ht="80.25" customHeight="1" x14ac:dyDescent="0.25">
      <c r="A79" s="259">
        <v>309</v>
      </c>
      <c r="B79" s="325" t="s">
        <v>223</v>
      </c>
      <c r="C79" s="313"/>
      <c r="D79" s="325"/>
      <c r="E79" s="313">
        <v>1</v>
      </c>
      <c r="F79" s="325" t="s">
        <v>112</v>
      </c>
      <c r="G79" s="345">
        <v>41</v>
      </c>
      <c r="H79" s="435" t="s">
        <v>129</v>
      </c>
      <c r="I79" s="345">
        <v>4101</v>
      </c>
      <c r="J79" s="435" t="s">
        <v>248</v>
      </c>
      <c r="K79" s="313">
        <v>4101038</v>
      </c>
      <c r="L79" s="435" t="s">
        <v>254</v>
      </c>
      <c r="M79" s="287" t="s">
        <v>265</v>
      </c>
      <c r="N79" s="435" t="s">
        <v>255</v>
      </c>
      <c r="O79" s="345" t="s">
        <v>26</v>
      </c>
      <c r="P79" s="345">
        <v>12</v>
      </c>
      <c r="Q79" s="345" t="s">
        <v>1233</v>
      </c>
      <c r="R79" s="281">
        <v>2024003630077</v>
      </c>
      <c r="S79" s="333" t="s">
        <v>263</v>
      </c>
      <c r="T79" s="328"/>
      <c r="U79" s="328"/>
      <c r="V79" s="328"/>
      <c r="W79" s="328"/>
      <c r="X79" s="328"/>
      <c r="Y79" s="328"/>
      <c r="Z79" s="328"/>
      <c r="AA79" s="328"/>
      <c r="AB79" s="328"/>
      <c r="AC79" s="328"/>
      <c r="AD79" s="328"/>
      <c r="AE79" s="328"/>
      <c r="AF79" s="328"/>
      <c r="AG79" s="328"/>
      <c r="AH79" s="328"/>
      <c r="AI79" s="328"/>
      <c r="AJ79" s="328"/>
      <c r="AK79" s="328"/>
      <c r="AL79" s="404">
        <f>41483073-3000000+12000000</f>
        <v>50483073</v>
      </c>
      <c r="AM79" s="404">
        <v>19801354</v>
      </c>
      <c r="AN79" s="404">
        <v>16836000</v>
      </c>
      <c r="AO79" s="328"/>
      <c r="AP79" s="328"/>
      <c r="AQ79" s="328"/>
      <c r="AR79" s="328"/>
      <c r="AS79" s="328"/>
      <c r="AT79" s="328"/>
      <c r="AU79" s="328">
        <f t="shared" si="3"/>
        <v>50483073</v>
      </c>
      <c r="AV79" s="328">
        <f t="shared" si="4"/>
        <v>19801354</v>
      </c>
      <c r="AW79" s="328">
        <f t="shared" si="5"/>
        <v>16836000</v>
      </c>
      <c r="AX79" s="385" t="s">
        <v>226</v>
      </c>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row>
    <row r="80" spans="1:129" s="332" customFormat="1" ht="80.25" customHeight="1" x14ac:dyDescent="0.25">
      <c r="A80" s="259">
        <v>309</v>
      </c>
      <c r="B80" s="325" t="s">
        <v>223</v>
      </c>
      <c r="C80" s="313"/>
      <c r="D80" s="325"/>
      <c r="E80" s="313">
        <v>1</v>
      </c>
      <c r="F80" s="325" t="s">
        <v>112</v>
      </c>
      <c r="G80" s="345">
        <v>41</v>
      </c>
      <c r="H80" s="435" t="s">
        <v>129</v>
      </c>
      <c r="I80" s="345">
        <v>4101</v>
      </c>
      <c r="J80" s="435" t="s">
        <v>248</v>
      </c>
      <c r="K80" s="259">
        <v>4101073</v>
      </c>
      <c r="L80" s="435" t="s">
        <v>256</v>
      </c>
      <c r="M80" s="287" t="s">
        <v>266</v>
      </c>
      <c r="N80" s="435" t="s">
        <v>257</v>
      </c>
      <c r="O80" s="441" t="s">
        <v>67</v>
      </c>
      <c r="P80" s="345">
        <v>30</v>
      </c>
      <c r="Q80" s="345" t="s">
        <v>1271</v>
      </c>
      <c r="R80" s="281">
        <v>2024003630077</v>
      </c>
      <c r="S80" s="333" t="s">
        <v>263</v>
      </c>
      <c r="T80" s="328"/>
      <c r="U80" s="328"/>
      <c r="V80" s="328"/>
      <c r="W80" s="328"/>
      <c r="X80" s="328"/>
      <c r="Y80" s="328"/>
      <c r="Z80" s="328"/>
      <c r="AA80" s="328"/>
      <c r="AB80" s="328"/>
      <c r="AC80" s="328"/>
      <c r="AD80" s="328"/>
      <c r="AE80" s="328"/>
      <c r="AF80" s="328"/>
      <c r="AG80" s="328"/>
      <c r="AH80" s="328"/>
      <c r="AI80" s="328">
        <f>1502617000-1502617000</f>
        <v>0</v>
      </c>
      <c r="AJ80" s="328"/>
      <c r="AK80" s="328"/>
      <c r="AL80" s="404">
        <f>50000000-50000000+7000000</f>
        <v>7000000</v>
      </c>
      <c r="AM80" s="404">
        <v>7000000</v>
      </c>
      <c r="AN80" s="404"/>
      <c r="AO80" s="328"/>
      <c r="AP80" s="328"/>
      <c r="AQ80" s="328"/>
      <c r="AR80" s="328"/>
      <c r="AS80" s="328"/>
      <c r="AT80" s="328"/>
      <c r="AU80" s="328">
        <f t="shared" si="3"/>
        <v>7000000</v>
      </c>
      <c r="AV80" s="328">
        <f t="shared" si="4"/>
        <v>7000000</v>
      </c>
      <c r="AW80" s="328">
        <f t="shared" si="5"/>
        <v>0</v>
      </c>
      <c r="AX80" s="385" t="s">
        <v>226</v>
      </c>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row>
    <row r="81" spans="1:129" s="332" customFormat="1" ht="80.25" customHeight="1" x14ac:dyDescent="0.25">
      <c r="A81" s="259">
        <v>309</v>
      </c>
      <c r="B81" s="325" t="s">
        <v>223</v>
      </c>
      <c r="C81" s="313"/>
      <c r="D81" s="325"/>
      <c r="E81" s="313">
        <v>1</v>
      </c>
      <c r="F81" s="325" t="s">
        <v>112</v>
      </c>
      <c r="G81" s="345">
        <v>41</v>
      </c>
      <c r="H81" s="435" t="s">
        <v>129</v>
      </c>
      <c r="I81" s="345">
        <v>4101</v>
      </c>
      <c r="J81" s="435" t="s">
        <v>248</v>
      </c>
      <c r="K81" s="259">
        <v>4101023</v>
      </c>
      <c r="L81" s="435" t="s">
        <v>249</v>
      </c>
      <c r="M81" s="287" t="s">
        <v>267</v>
      </c>
      <c r="N81" s="435" t="s">
        <v>250</v>
      </c>
      <c r="O81" s="441" t="s">
        <v>67</v>
      </c>
      <c r="P81" s="303">
        <v>1000</v>
      </c>
      <c r="Q81" s="303">
        <v>500</v>
      </c>
      <c r="R81" s="281">
        <v>2024003630077</v>
      </c>
      <c r="S81" s="333" t="s">
        <v>263</v>
      </c>
      <c r="T81" s="328"/>
      <c r="U81" s="328"/>
      <c r="V81" s="328"/>
      <c r="W81" s="328"/>
      <c r="X81" s="328"/>
      <c r="Y81" s="328"/>
      <c r="Z81" s="328"/>
      <c r="AA81" s="328"/>
      <c r="AB81" s="328"/>
      <c r="AC81" s="328"/>
      <c r="AD81" s="328"/>
      <c r="AE81" s="328"/>
      <c r="AF81" s="328"/>
      <c r="AG81" s="328"/>
      <c r="AH81" s="328"/>
      <c r="AI81" s="328"/>
      <c r="AJ81" s="328"/>
      <c r="AK81" s="328"/>
      <c r="AL81" s="404">
        <f>42400000+53000000</f>
        <v>95400000</v>
      </c>
      <c r="AM81" s="404">
        <v>87796667</v>
      </c>
      <c r="AN81" s="404">
        <v>38500000</v>
      </c>
      <c r="AO81" s="328"/>
      <c r="AP81" s="328"/>
      <c r="AQ81" s="328"/>
      <c r="AR81" s="328"/>
      <c r="AS81" s="328"/>
      <c r="AT81" s="328"/>
      <c r="AU81" s="328">
        <f t="shared" si="3"/>
        <v>95400000</v>
      </c>
      <c r="AV81" s="328">
        <f t="shared" si="4"/>
        <v>87796667</v>
      </c>
      <c r="AW81" s="328">
        <f t="shared" si="5"/>
        <v>38500000</v>
      </c>
      <c r="AX81" s="385" t="s">
        <v>226</v>
      </c>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row>
    <row r="82" spans="1:129" s="331" customFormat="1" ht="80.25" customHeight="1" x14ac:dyDescent="0.25">
      <c r="A82" s="257">
        <v>309</v>
      </c>
      <c r="B82" s="376" t="s">
        <v>223</v>
      </c>
      <c r="C82" s="257">
        <v>1</v>
      </c>
      <c r="D82" s="376" t="s">
        <v>105</v>
      </c>
      <c r="E82" s="257">
        <v>1</v>
      </c>
      <c r="F82" s="376" t="s">
        <v>112</v>
      </c>
      <c r="G82" s="257">
        <v>41</v>
      </c>
      <c r="H82" s="376" t="s">
        <v>129</v>
      </c>
      <c r="I82" s="257">
        <v>4103</v>
      </c>
      <c r="J82" s="376" t="s">
        <v>268</v>
      </c>
      <c r="K82" s="257">
        <v>4103052</v>
      </c>
      <c r="L82" s="376" t="s">
        <v>269</v>
      </c>
      <c r="M82" s="275">
        <v>410305201</v>
      </c>
      <c r="N82" s="326" t="s">
        <v>270</v>
      </c>
      <c r="O82" s="439" t="s">
        <v>67</v>
      </c>
      <c r="P82" s="280">
        <v>25</v>
      </c>
      <c r="Q82" s="280">
        <v>2</v>
      </c>
      <c r="R82" s="380">
        <v>2020003630065</v>
      </c>
      <c r="S82" s="388" t="s">
        <v>271</v>
      </c>
      <c r="T82" s="381"/>
      <c r="U82" s="381"/>
      <c r="V82" s="381"/>
      <c r="W82" s="381"/>
      <c r="X82" s="381"/>
      <c r="Y82" s="381"/>
      <c r="Z82" s="381"/>
      <c r="AA82" s="381"/>
      <c r="AB82" s="381"/>
      <c r="AC82" s="381"/>
      <c r="AD82" s="381"/>
      <c r="AE82" s="381"/>
      <c r="AF82" s="381"/>
      <c r="AG82" s="381"/>
      <c r="AH82" s="381"/>
      <c r="AI82" s="381"/>
      <c r="AJ82" s="381"/>
      <c r="AK82" s="381"/>
      <c r="AL82" s="400">
        <f>25000000+11000000-16300000</f>
        <v>19700000</v>
      </c>
      <c r="AM82" s="400">
        <v>19700000</v>
      </c>
      <c r="AN82" s="400">
        <v>19700000</v>
      </c>
      <c r="AO82" s="381"/>
      <c r="AP82" s="381"/>
      <c r="AQ82" s="381"/>
      <c r="AR82" s="381"/>
      <c r="AS82" s="381"/>
      <c r="AT82" s="381"/>
      <c r="AU82" s="381">
        <f t="shared" si="3"/>
        <v>19700000</v>
      </c>
      <c r="AV82" s="381">
        <f t="shared" si="4"/>
        <v>19700000</v>
      </c>
      <c r="AW82" s="381">
        <f t="shared" si="5"/>
        <v>19700000</v>
      </c>
      <c r="AX82" s="392" t="s">
        <v>226</v>
      </c>
    </row>
    <row r="83" spans="1:129" s="332" customFormat="1" ht="80.25" customHeight="1" x14ac:dyDescent="0.25">
      <c r="A83" s="259">
        <v>309</v>
      </c>
      <c r="B83" s="435" t="s">
        <v>223</v>
      </c>
      <c r="C83" s="313"/>
      <c r="D83" s="325"/>
      <c r="E83" s="313">
        <v>1</v>
      </c>
      <c r="F83" s="325" t="s">
        <v>112</v>
      </c>
      <c r="G83" s="345">
        <v>41</v>
      </c>
      <c r="H83" s="435" t="s">
        <v>129</v>
      </c>
      <c r="I83" s="345">
        <v>4103</v>
      </c>
      <c r="J83" s="435" t="s">
        <v>272</v>
      </c>
      <c r="K83" s="259">
        <v>4103052</v>
      </c>
      <c r="L83" s="435" t="s">
        <v>273</v>
      </c>
      <c r="M83" s="443" t="s">
        <v>274</v>
      </c>
      <c r="N83" s="444" t="s">
        <v>275</v>
      </c>
      <c r="O83" s="345" t="s">
        <v>26</v>
      </c>
      <c r="P83" s="345">
        <v>30</v>
      </c>
      <c r="Q83" s="345" t="s">
        <v>1272</v>
      </c>
      <c r="R83" s="281">
        <v>2024003630103</v>
      </c>
      <c r="S83" s="333" t="s">
        <v>276</v>
      </c>
      <c r="T83" s="328"/>
      <c r="U83" s="328"/>
      <c r="V83" s="328"/>
      <c r="W83" s="328"/>
      <c r="X83" s="328"/>
      <c r="Y83" s="328"/>
      <c r="Z83" s="328"/>
      <c r="AA83" s="328"/>
      <c r="AB83" s="328"/>
      <c r="AC83" s="328"/>
      <c r="AD83" s="328"/>
      <c r="AE83" s="328"/>
      <c r="AF83" s="328"/>
      <c r="AG83" s="328"/>
      <c r="AH83" s="328"/>
      <c r="AI83" s="328"/>
      <c r="AJ83" s="328"/>
      <c r="AK83" s="328"/>
      <c r="AL83" s="404">
        <v>16300000</v>
      </c>
      <c r="AM83" s="404">
        <v>10300000</v>
      </c>
      <c r="AN83" s="404">
        <v>5000000</v>
      </c>
      <c r="AO83" s="328"/>
      <c r="AP83" s="328"/>
      <c r="AQ83" s="328"/>
      <c r="AR83" s="328"/>
      <c r="AS83" s="328"/>
      <c r="AT83" s="328"/>
      <c r="AU83" s="328">
        <f t="shared" si="3"/>
        <v>16300000</v>
      </c>
      <c r="AV83" s="328">
        <f t="shared" si="4"/>
        <v>10300000</v>
      </c>
      <c r="AW83" s="328">
        <f t="shared" si="5"/>
        <v>5000000</v>
      </c>
      <c r="AX83" s="385" t="s">
        <v>226</v>
      </c>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row>
    <row r="84" spans="1:129" s="331" customFormat="1" ht="80.25" customHeight="1" x14ac:dyDescent="0.25">
      <c r="A84" s="257">
        <v>309</v>
      </c>
      <c r="B84" s="376" t="s">
        <v>223</v>
      </c>
      <c r="C84" s="257">
        <v>1</v>
      </c>
      <c r="D84" s="376" t="s">
        <v>105</v>
      </c>
      <c r="E84" s="257">
        <v>4</v>
      </c>
      <c r="F84" s="376" t="s">
        <v>102</v>
      </c>
      <c r="G84" s="257">
        <v>45</v>
      </c>
      <c r="H84" s="376" t="s">
        <v>22</v>
      </c>
      <c r="I84" s="257">
        <v>4501</v>
      </c>
      <c r="J84" s="376" t="s">
        <v>277</v>
      </c>
      <c r="K84" s="257">
        <v>4501029</v>
      </c>
      <c r="L84" s="376" t="s">
        <v>278</v>
      </c>
      <c r="M84" s="256">
        <v>450102900</v>
      </c>
      <c r="N84" s="388" t="s">
        <v>279</v>
      </c>
      <c r="O84" s="439" t="s">
        <v>26</v>
      </c>
      <c r="P84" s="280">
        <v>5</v>
      </c>
      <c r="Q84" s="280">
        <v>2</v>
      </c>
      <c r="R84" s="380">
        <v>2020003630066</v>
      </c>
      <c r="S84" s="388" t="s">
        <v>280</v>
      </c>
      <c r="T84" s="381"/>
      <c r="U84" s="381"/>
      <c r="V84" s="381"/>
      <c r="W84" s="381"/>
      <c r="X84" s="381"/>
      <c r="Y84" s="381"/>
      <c r="Z84" s="381"/>
      <c r="AA84" s="381"/>
      <c r="AB84" s="381"/>
      <c r="AC84" s="381"/>
      <c r="AD84" s="381"/>
      <c r="AE84" s="381"/>
      <c r="AF84" s="381"/>
      <c r="AG84" s="381"/>
      <c r="AH84" s="381"/>
      <c r="AI84" s="381"/>
      <c r="AJ84" s="381"/>
      <c r="AK84" s="381"/>
      <c r="AL84" s="400"/>
      <c r="AM84" s="400"/>
      <c r="AN84" s="400"/>
      <c r="AO84" s="381">
        <f>30000000+2461968000+5836387658.26-3662611149.93</f>
        <v>4665744508.3299999</v>
      </c>
      <c r="AP84" s="381">
        <v>1027968725</v>
      </c>
      <c r="AQ84" s="381">
        <v>365651293</v>
      </c>
      <c r="AR84" s="381"/>
      <c r="AS84" s="381"/>
      <c r="AT84" s="381"/>
      <c r="AU84" s="381">
        <f t="shared" si="3"/>
        <v>4665744508.3299999</v>
      </c>
      <c r="AV84" s="381">
        <f t="shared" si="4"/>
        <v>1027968725</v>
      </c>
      <c r="AW84" s="381">
        <f t="shared" si="5"/>
        <v>365651293</v>
      </c>
      <c r="AX84" s="392" t="s">
        <v>226</v>
      </c>
    </row>
    <row r="85" spans="1:129" s="332" customFormat="1" ht="80.25" customHeight="1" x14ac:dyDescent="0.25">
      <c r="A85" s="259">
        <v>309</v>
      </c>
      <c r="B85" s="325" t="s">
        <v>223</v>
      </c>
      <c r="C85" s="313"/>
      <c r="D85" s="386"/>
      <c r="E85" s="313">
        <v>4</v>
      </c>
      <c r="F85" s="386" t="s">
        <v>102</v>
      </c>
      <c r="G85" s="343" t="s">
        <v>29</v>
      </c>
      <c r="H85" s="386" t="s">
        <v>22</v>
      </c>
      <c r="I85" s="345">
        <v>4501</v>
      </c>
      <c r="J85" s="435" t="s">
        <v>277</v>
      </c>
      <c r="K85" s="259">
        <v>4501029</v>
      </c>
      <c r="L85" s="435" t="s">
        <v>281</v>
      </c>
      <c r="M85" s="345" t="s">
        <v>282</v>
      </c>
      <c r="N85" s="435" t="s">
        <v>283</v>
      </c>
      <c r="O85" s="345" t="s">
        <v>26</v>
      </c>
      <c r="P85" s="345">
        <v>5</v>
      </c>
      <c r="Q85" s="345" t="s">
        <v>1232</v>
      </c>
      <c r="R85" s="281">
        <v>2024003630090</v>
      </c>
      <c r="S85" s="333" t="s">
        <v>284</v>
      </c>
      <c r="T85" s="328"/>
      <c r="U85" s="328"/>
      <c r="V85" s="328"/>
      <c r="W85" s="328"/>
      <c r="X85" s="328"/>
      <c r="Y85" s="328"/>
      <c r="Z85" s="328"/>
      <c r="AA85" s="328"/>
      <c r="AB85" s="328"/>
      <c r="AC85" s="328"/>
      <c r="AD85" s="328"/>
      <c r="AE85" s="328"/>
      <c r="AF85" s="328"/>
      <c r="AG85" s="328"/>
      <c r="AH85" s="328"/>
      <c r="AI85" s="328"/>
      <c r="AJ85" s="328"/>
      <c r="AK85" s="328"/>
      <c r="AL85" s="404"/>
      <c r="AM85" s="404"/>
      <c r="AN85" s="404"/>
      <c r="AO85" s="328">
        <f>3662611149.93+1241094019</f>
        <v>4903705168.9300003</v>
      </c>
      <c r="AP85" s="328">
        <v>284646665</v>
      </c>
      <c r="AQ85" s="328">
        <v>95019600</v>
      </c>
      <c r="AR85" s="328"/>
      <c r="AS85" s="328"/>
      <c r="AT85" s="328"/>
      <c r="AU85" s="328">
        <f t="shared" si="3"/>
        <v>4903705168.9300003</v>
      </c>
      <c r="AV85" s="328">
        <f t="shared" si="4"/>
        <v>284646665</v>
      </c>
      <c r="AW85" s="328">
        <f t="shared" si="5"/>
        <v>95019600</v>
      </c>
      <c r="AX85" s="385" t="s">
        <v>226</v>
      </c>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row>
    <row r="86" spans="1:129" s="331" customFormat="1" ht="80.25" customHeight="1" x14ac:dyDescent="0.25">
      <c r="A86" s="257">
        <v>309</v>
      </c>
      <c r="B86" s="376" t="s">
        <v>223</v>
      </c>
      <c r="C86" s="257">
        <v>1</v>
      </c>
      <c r="D86" s="376" t="s">
        <v>105</v>
      </c>
      <c r="E86" s="257">
        <v>4</v>
      </c>
      <c r="F86" s="376" t="s">
        <v>102</v>
      </c>
      <c r="G86" s="257">
        <v>45</v>
      </c>
      <c r="H86" s="376" t="s">
        <v>22</v>
      </c>
      <c r="I86" s="257">
        <v>4501</v>
      </c>
      <c r="J86" s="376" t="s">
        <v>277</v>
      </c>
      <c r="K86" s="257">
        <v>4501001</v>
      </c>
      <c r="L86" s="376" t="s">
        <v>69</v>
      </c>
      <c r="M86" s="257">
        <v>450100100</v>
      </c>
      <c r="N86" s="388" t="s">
        <v>285</v>
      </c>
      <c r="O86" s="439" t="s">
        <v>26</v>
      </c>
      <c r="P86" s="280">
        <v>12</v>
      </c>
      <c r="Q86" s="280">
        <v>3</v>
      </c>
      <c r="R86" s="380">
        <v>2020003630068</v>
      </c>
      <c r="S86" s="388" t="s">
        <v>286</v>
      </c>
      <c r="T86" s="400"/>
      <c r="U86" s="400"/>
      <c r="V86" s="400"/>
      <c r="W86" s="381"/>
      <c r="X86" s="381"/>
      <c r="Y86" s="381"/>
      <c r="Z86" s="381"/>
      <c r="AA86" s="381"/>
      <c r="AB86" s="381"/>
      <c r="AC86" s="381"/>
      <c r="AD86" s="381"/>
      <c r="AE86" s="381"/>
      <c r="AF86" s="381"/>
      <c r="AG86" s="381"/>
      <c r="AH86" s="381"/>
      <c r="AI86" s="381"/>
      <c r="AJ86" s="381"/>
      <c r="AK86" s="381"/>
      <c r="AL86" s="400">
        <f>50000000+35000000-29300000</f>
        <v>55700000</v>
      </c>
      <c r="AM86" s="400">
        <v>55700000</v>
      </c>
      <c r="AN86" s="400">
        <v>55700000</v>
      </c>
      <c r="AO86" s="381"/>
      <c r="AP86" s="381"/>
      <c r="AQ86" s="381"/>
      <c r="AR86" s="381"/>
      <c r="AS86" s="381"/>
      <c r="AT86" s="381"/>
      <c r="AU86" s="381">
        <f t="shared" si="3"/>
        <v>55700000</v>
      </c>
      <c r="AV86" s="381">
        <f t="shared" si="4"/>
        <v>55700000</v>
      </c>
      <c r="AW86" s="381">
        <f t="shared" si="5"/>
        <v>55700000</v>
      </c>
      <c r="AX86" s="392" t="s">
        <v>226</v>
      </c>
    </row>
    <row r="87" spans="1:129" s="332" customFormat="1" ht="80.25" customHeight="1" x14ac:dyDescent="0.25">
      <c r="A87" s="259">
        <v>309</v>
      </c>
      <c r="B87" s="325" t="s">
        <v>223</v>
      </c>
      <c r="C87" s="313"/>
      <c r="D87" s="386"/>
      <c r="E87" s="313">
        <v>4</v>
      </c>
      <c r="F87" s="386" t="s">
        <v>102</v>
      </c>
      <c r="G87" s="343" t="s">
        <v>29</v>
      </c>
      <c r="H87" s="386" t="s">
        <v>22</v>
      </c>
      <c r="I87" s="345">
        <v>4501</v>
      </c>
      <c r="J87" s="435" t="s">
        <v>277</v>
      </c>
      <c r="K87" s="281">
        <v>4501001</v>
      </c>
      <c r="L87" s="435" t="s">
        <v>69</v>
      </c>
      <c r="M87" s="345" t="s">
        <v>287</v>
      </c>
      <c r="N87" s="435" t="s">
        <v>285</v>
      </c>
      <c r="O87" s="345" t="s">
        <v>26</v>
      </c>
      <c r="P87" s="345">
        <v>12</v>
      </c>
      <c r="Q87" s="345" t="s">
        <v>1233</v>
      </c>
      <c r="R87" s="281">
        <v>2024003630081</v>
      </c>
      <c r="S87" s="333" t="s">
        <v>288</v>
      </c>
      <c r="T87" s="404"/>
      <c r="U87" s="404"/>
      <c r="V87" s="404"/>
      <c r="W87" s="328"/>
      <c r="X87" s="328"/>
      <c r="Y87" s="328"/>
      <c r="Z87" s="328"/>
      <c r="AA87" s="328"/>
      <c r="AB87" s="328"/>
      <c r="AC87" s="328"/>
      <c r="AD87" s="328"/>
      <c r="AE87" s="328"/>
      <c r="AF87" s="328"/>
      <c r="AG87" s="328"/>
      <c r="AH87" s="328"/>
      <c r="AI87" s="328"/>
      <c r="AJ87" s="328"/>
      <c r="AK87" s="328"/>
      <c r="AL87" s="404">
        <v>29300000</v>
      </c>
      <c r="AM87" s="404">
        <v>22253334</v>
      </c>
      <c r="AN87" s="404">
        <v>10400000</v>
      </c>
      <c r="AO87" s="328"/>
      <c r="AP87" s="328"/>
      <c r="AQ87" s="328"/>
      <c r="AR87" s="328"/>
      <c r="AS87" s="328"/>
      <c r="AT87" s="328"/>
      <c r="AU87" s="328">
        <f t="shared" si="3"/>
        <v>29300000</v>
      </c>
      <c r="AV87" s="328">
        <f t="shared" si="4"/>
        <v>22253334</v>
      </c>
      <c r="AW87" s="328">
        <f t="shared" si="5"/>
        <v>10400000</v>
      </c>
      <c r="AX87" s="385" t="s">
        <v>226</v>
      </c>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row>
    <row r="88" spans="1:129" s="331" customFormat="1" ht="80.25" customHeight="1" x14ac:dyDescent="0.25">
      <c r="A88" s="257">
        <v>309</v>
      </c>
      <c r="B88" s="376" t="s">
        <v>223</v>
      </c>
      <c r="C88" s="257">
        <v>3</v>
      </c>
      <c r="D88" s="376" t="s">
        <v>146</v>
      </c>
      <c r="E88" s="257">
        <v>2</v>
      </c>
      <c r="F88" s="376" t="s">
        <v>159</v>
      </c>
      <c r="G88" s="257">
        <v>32</v>
      </c>
      <c r="H88" s="376" t="s">
        <v>160</v>
      </c>
      <c r="I88" s="257">
        <v>3205</v>
      </c>
      <c r="J88" s="376" t="s">
        <v>161</v>
      </c>
      <c r="K88" s="257">
        <v>3205002</v>
      </c>
      <c r="L88" s="376" t="s">
        <v>289</v>
      </c>
      <c r="M88" s="257">
        <v>320500200</v>
      </c>
      <c r="N88" s="388" t="s">
        <v>290</v>
      </c>
      <c r="O88" s="439" t="s">
        <v>67</v>
      </c>
      <c r="P88" s="280">
        <v>3</v>
      </c>
      <c r="Q88" s="280">
        <v>3</v>
      </c>
      <c r="R88" s="380">
        <v>2020003630069</v>
      </c>
      <c r="S88" s="388" t="s">
        <v>291</v>
      </c>
      <c r="T88" s="381"/>
      <c r="U88" s="381"/>
      <c r="V88" s="381"/>
      <c r="W88" s="381"/>
      <c r="X88" s="381"/>
      <c r="Y88" s="381"/>
      <c r="Z88" s="381"/>
      <c r="AA88" s="381"/>
      <c r="AB88" s="381"/>
      <c r="AC88" s="381"/>
      <c r="AD88" s="381"/>
      <c r="AE88" s="381"/>
      <c r="AF88" s="381"/>
      <c r="AG88" s="381"/>
      <c r="AH88" s="381"/>
      <c r="AI88" s="381"/>
      <c r="AJ88" s="381"/>
      <c r="AK88" s="381"/>
      <c r="AL88" s="400">
        <f>100000000-35000000</f>
        <v>65000000</v>
      </c>
      <c r="AM88" s="400">
        <v>65000000</v>
      </c>
      <c r="AN88" s="400">
        <v>65000000</v>
      </c>
      <c r="AO88" s="381"/>
      <c r="AP88" s="381"/>
      <c r="AQ88" s="381"/>
      <c r="AR88" s="381"/>
      <c r="AS88" s="381"/>
      <c r="AT88" s="381"/>
      <c r="AU88" s="381">
        <f t="shared" si="3"/>
        <v>65000000</v>
      </c>
      <c r="AV88" s="381">
        <f t="shared" si="4"/>
        <v>65000000</v>
      </c>
      <c r="AW88" s="381">
        <f t="shared" si="5"/>
        <v>65000000</v>
      </c>
      <c r="AX88" s="392" t="s">
        <v>226</v>
      </c>
    </row>
    <row r="89" spans="1:129" s="331" customFormat="1" ht="80.25" customHeight="1" x14ac:dyDescent="0.25">
      <c r="A89" s="257">
        <v>309</v>
      </c>
      <c r="B89" s="376" t="s">
        <v>223</v>
      </c>
      <c r="C89" s="257">
        <v>3</v>
      </c>
      <c r="D89" s="376" t="s">
        <v>146</v>
      </c>
      <c r="E89" s="257">
        <v>2</v>
      </c>
      <c r="F89" s="376" t="s">
        <v>159</v>
      </c>
      <c r="G89" s="257">
        <v>45</v>
      </c>
      <c r="H89" s="376" t="s">
        <v>22</v>
      </c>
      <c r="I89" s="257">
        <v>4503</v>
      </c>
      <c r="J89" s="376" t="s">
        <v>292</v>
      </c>
      <c r="K89" s="257">
        <v>4503002</v>
      </c>
      <c r="L89" s="376" t="s">
        <v>293</v>
      </c>
      <c r="M89" s="257">
        <v>450300200</v>
      </c>
      <c r="N89" s="388" t="s">
        <v>294</v>
      </c>
      <c r="O89" s="439" t="s">
        <v>67</v>
      </c>
      <c r="P89" s="302">
        <v>5000</v>
      </c>
      <c r="Q89" s="302">
        <v>968</v>
      </c>
      <c r="R89" s="380">
        <v>2020003630070</v>
      </c>
      <c r="S89" s="445" t="s">
        <v>295</v>
      </c>
      <c r="T89" s="381"/>
      <c r="U89" s="381"/>
      <c r="V89" s="381"/>
      <c r="W89" s="381"/>
      <c r="X89" s="381"/>
      <c r="Y89" s="381"/>
      <c r="Z89" s="381"/>
      <c r="AA89" s="381"/>
      <c r="AB89" s="381"/>
      <c r="AC89" s="381"/>
      <c r="AD89" s="381"/>
      <c r="AE89" s="381"/>
      <c r="AF89" s="381"/>
      <c r="AG89" s="381"/>
      <c r="AH89" s="381"/>
      <c r="AI89" s="381"/>
      <c r="AJ89" s="381"/>
      <c r="AK89" s="381"/>
      <c r="AL89" s="400">
        <f>65000000+24000000-24000000-13500000</f>
        <v>51500000</v>
      </c>
      <c r="AM89" s="400">
        <v>51500000</v>
      </c>
      <c r="AN89" s="400">
        <v>47760500</v>
      </c>
      <c r="AO89" s="381"/>
      <c r="AP89" s="381"/>
      <c r="AQ89" s="381"/>
      <c r="AR89" s="381"/>
      <c r="AS89" s="381"/>
      <c r="AT89" s="381"/>
      <c r="AU89" s="381">
        <f t="shared" si="3"/>
        <v>51500000</v>
      </c>
      <c r="AV89" s="381">
        <f t="shared" si="4"/>
        <v>51500000</v>
      </c>
      <c r="AW89" s="381">
        <f t="shared" si="5"/>
        <v>47760500</v>
      </c>
      <c r="AX89" s="392" t="s">
        <v>226</v>
      </c>
    </row>
    <row r="90" spans="1:129" s="331" customFormat="1" ht="80.25" customHeight="1" x14ac:dyDescent="0.25">
      <c r="A90" s="257">
        <v>309</v>
      </c>
      <c r="B90" s="376" t="s">
        <v>223</v>
      </c>
      <c r="C90" s="257">
        <v>3</v>
      </c>
      <c r="D90" s="376" t="s">
        <v>146</v>
      </c>
      <c r="E90" s="257">
        <v>2</v>
      </c>
      <c r="F90" s="376" t="s">
        <v>159</v>
      </c>
      <c r="G90" s="257">
        <v>45</v>
      </c>
      <c r="H90" s="376" t="s">
        <v>22</v>
      </c>
      <c r="I90" s="257">
        <v>4503</v>
      </c>
      <c r="J90" s="376" t="s">
        <v>292</v>
      </c>
      <c r="K90" s="257">
        <v>4503003</v>
      </c>
      <c r="L90" s="376" t="s">
        <v>69</v>
      </c>
      <c r="M90" s="257">
        <v>450300300</v>
      </c>
      <c r="N90" s="388" t="s">
        <v>296</v>
      </c>
      <c r="O90" s="439" t="s">
        <v>26</v>
      </c>
      <c r="P90" s="280">
        <v>12</v>
      </c>
      <c r="Q90" s="280">
        <v>12</v>
      </c>
      <c r="R90" s="380">
        <v>2020003630070</v>
      </c>
      <c r="S90" s="445" t="s">
        <v>295</v>
      </c>
      <c r="T90" s="381"/>
      <c r="U90" s="381"/>
      <c r="V90" s="381"/>
      <c r="W90" s="381"/>
      <c r="X90" s="381"/>
      <c r="Y90" s="381"/>
      <c r="Z90" s="381"/>
      <c r="AA90" s="381"/>
      <c r="AB90" s="381"/>
      <c r="AC90" s="381"/>
      <c r="AD90" s="381"/>
      <c r="AE90" s="381"/>
      <c r="AF90" s="381"/>
      <c r="AG90" s="381"/>
      <c r="AH90" s="381"/>
      <c r="AI90" s="381"/>
      <c r="AJ90" s="381"/>
      <c r="AK90" s="381"/>
      <c r="AL90" s="400">
        <f>195000000+100000000+90000000-18000000-186900000</f>
        <v>180100000</v>
      </c>
      <c r="AM90" s="400">
        <v>180100000</v>
      </c>
      <c r="AN90" s="400">
        <v>180100000</v>
      </c>
      <c r="AO90" s="381"/>
      <c r="AP90" s="381"/>
      <c r="AQ90" s="381"/>
      <c r="AR90" s="381"/>
      <c r="AS90" s="381"/>
      <c r="AT90" s="381"/>
      <c r="AU90" s="381">
        <f t="shared" si="3"/>
        <v>180100000</v>
      </c>
      <c r="AV90" s="381">
        <f t="shared" si="4"/>
        <v>180100000</v>
      </c>
      <c r="AW90" s="381">
        <f t="shared" si="5"/>
        <v>180100000</v>
      </c>
      <c r="AX90" s="392" t="s">
        <v>226</v>
      </c>
    </row>
    <row r="91" spans="1:129" s="332" customFormat="1" ht="80.25" customHeight="1" x14ac:dyDescent="0.25">
      <c r="A91" s="259">
        <v>309</v>
      </c>
      <c r="B91" s="325" t="s">
        <v>223</v>
      </c>
      <c r="C91" s="259"/>
      <c r="D91" s="325"/>
      <c r="E91" s="259">
        <v>2</v>
      </c>
      <c r="F91" s="325" t="s">
        <v>159</v>
      </c>
      <c r="G91" s="259">
        <v>45</v>
      </c>
      <c r="H91" s="325" t="s">
        <v>22</v>
      </c>
      <c r="I91" s="345">
        <v>4503</v>
      </c>
      <c r="J91" s="385" t="s">
        <v>292</v>
      </c>
      <c r="K91" s="281">
        <v>4503016</v>
      </c>
      <c r="L91" s="325" t="s">
        <v>297</v>
      </c>
      <c r="M91" s="277" t="s">
        <v>298</v>
      </c>
      <c r="N91" s="325" t="s">
        <v>299</v>
      </c>
      <c r="O91" s="345" t="s">
        <v>26</v>
      </c>
      <c r="P91" s="345">
        <v>7</v>
      </c>
      <c r="Q91" s="345" t="s">
        <v>1232</v>
      </c>
      <c r="R91" s="281">
        <v>2024003630089</v>
      </c>
      <c r="S91" s="435" t="s">
        <v>300</v>
      </c>
      <c r="T91" s="328"/>
      <c r="U91" s="328"/>
      <c r="V91" s="328"/>
      <c r="W91" s="328"/>
      <c r="X91" s="328"/>
      <c r="Y91" s="328"/>
      <c r="Z91" s="328"/>
      <c r="AA91" s="328"/>
      <c r="AB91" s="328"/>
      <c r="AC91" s="328"/>
      <c r="AD91" s="328"/>
      <c r="AE91" s="328"/>
      <c r="AF91" s="328"/>
      <c r="AG91" s="328"/>
      <c r="AH91" s="328"/>
      <c r="AI91" s="328"/>
      <c r="AJ91" s="328"/>
      <c r="AK91" s="328"/>
      <c r="AL91" s="404">
        <f>223900000-113800000</f>
        <v>110100000</v>
      </c>
      <c r="AM91" s="404">
        <v>24095600</v>
      </c>
      <c r="AN91" s="404">
        <v>10100000</v>
      </c>
      <c r="AO91" s="328"/>
      <c r="AP91" s="328"/>
      <c r="AQ91" s="328"/>
      <c r="AR91" s="328"/>
      <c r="AS91" s="328"/>
      <c r="AT91" s="328"/>
      <c r="AU91" s="328">
        <f t="shared" si="3"/>
        <v>110100000</v>
      </c>
      <c r="AV91" s="328">
        <f t="shared" si="4"/>
        <v>24095600</v>
      </c>
      <c r="AW91" s="328">
        <f t="shared" si="5"/>
        <v>10100000</v>
      </c>
      <c r="AX91" s="385" t="s">
        <v>226</v>
      </c>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row>
    <row r="92" spans="1:129" s="332" customFormat="1" ht="98.25" customHeight="1" x14ac:dyDescent="0.25">
      <c r="A92" s="259">
        <v>309</v>
      </c>
      <c r="B92" s="325" t="s">
        <v>223</v>
      </c>
      <c r="C92" s="259"/>
      <c r="D92" s="325"/>
      <c r="E92" s="259">
        <v>2</v>
      </c>
      <c r="F92" s="325" t="s">
        <v>159</v>
      </c>
      <c r="G92" s="259">
        <v>45</v>
      </c>
      <c r="H92" s="325" t="s">
        <v>22</v>
      </c>
      <c r="I92" s="345" t="s">
        <v>301</v>
      </c>
      <c r="J92" s="385" t="s">
        <v>292</v>
      </c>
      <c r="K92" s="281">
        <v>4503022</v>
      </c>
      <c r="L92" s="325" t="s">
        <v>302</v>
      </c>
      <c r="M92" s="277">
        <v>450302200</v>
      </c>
      <c r="N92" s="325" t="s">
        <v>303</v>
      </c>
      <c r="O92" s="441" t="s">
        <v>67</v>
      </c>
      <c r="P92" s="279">
        <v>3</v>
      </c>
      <c r="Q92" s="279">
        <v>0</v>
      </c>
      <c r="R92" s="281">
        <v>2024003630089</v>
      </c>
      <c r="S92" s="435" t="s">
        <v>300</v>
      </c>
      <c r="T92" s="328"/>
      <c r="U92" s="328"/>
      <c r="V92" s="328"/>
      <c r="W92" s="328"/>
      <c r="X92" s="328"/>
      <c r="Y92" s="328"/>
      <c r="Z92" s="328"/>
      <c r="AA92" s="328"/>
      <c r="AB92" s="328"/>
      <c r="AC92" s="328"/>
      <c r="AD92" s="328"/>
      <c r="AE92" s="328"/>
      <c r="AF92" s="328"/>
      <c r="AG92" s="328"/>
      <c r="AH92" s="328"/>
      <c r="AI92" s="328"/>
      <c r="AJ92" s="328"/>
      <c r="AK92" s="328"/>
      <c r="AL92" s="404">
        <v>36089998</v>
      </c>
      <c r="AM92" s="404">
        <v>25200000</v>
      </c>
      <c r="AN92" s="404">
        <v>8400000</v>
      </c>
      <c r="AO92" s="328"/>
      <c r="AP92" s="328"/>
      <c r="AQ92" s="328"/>
      <c r="AR92" s="328"/>
      <c r="AS92" s="328"/>
      <c r="AT92" s="328"/>
      <c r="AU92" s="328">
        <f t="shared" si="3"/>
        <v>36089998</v>
      </c>
      <c r="AV92" s="328">
        <f t="shared" si="4"/>
        <v>25200000</v>
      </c>
      <c r="AW92" s="328">
        <f t="shared" si="5"/>
        <v>8400000</v>
      </c>
      <c r="AX92" s="385" t="s">
        <v>226</v>
      </c>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row>
    <row r="93" spans="1:129" s="332" customFormat="1" ht="80.25" customHeight="1" x14ac:dyDescent="0.25">
      <c r="A93" s="259">
        <v>309</v>
      </c>
      <c r="B93" s="325" t="s">
        <v>223</v>
      </c>
      <c r="C93" s="259"/>
      <c r="D93" s="325"/>
      <c r="E93" s="259">
        <v>2</v>
      </c>
      <c r="F93" s="325" t="s">
        <v>159</v>
      </c>
      <c r="G93" s="259">
        <v>45</v>
      </c>
      <c r="H93" s="325" t="s">
        <v>22</v>
      </c>
      <c r="I93" s="345" t="s">
        <v>301</v>
      </c>
      <c r="J93" s="385" t="s">
        <v>292</v>
      </c>
      <c r="K93" s="259">
        <v>4503002</v>
      </c>
      <c r="L93" s="325" t="s">
        <v>293</v>
      </c>
      <c r="M93" s="277" t="s">
        <v>304</v>
      </c>
      <c r="N93" s="325" t="s">
        <v>1230</v>
      </c>
      <c r="O93" s="441" t="s">
        <v>67</v>
      </c>
      <c r="P93" s="303">
        <v>5000</v>
      </c>
      <c r="Q93" s="303">
        <v>4022</v>
      </c>
      <c r="R93" s="281">
        <v>2024003630089</v>
      </c>
      <c r="S93" s="435" t="s">
        <v>300</v>
      </c>
      <c r="T93" s="328"/>
      <c r="U93" s="328"/>
      <c r="V93" s="328"/>
      <c r="W93" s="328"/>
      <c r="X93" s="328"/>
      <c r="Y93" s="328"/>
      <c r="Z93" s="328"/>
      <c r="AA93" s="328"/>
      <c r="AB93" s="328"/>
      <c r="AC93" s="328"/>
      <c r="AD93" s="328"/>
      <c r="AE93" s="328"/>
      <c r="AF93" s="328"/>
      <c r="AG93" s="328"/>
      <c r="AH93" s="328"/>
      <c r="AI93" s="328"/>
      <c r="AJ93" s="328"/>
      <c r="AK93" s="328"/>
      <c r="AL93" s="404">
        <f>10000000+69900000-3536666</f>
        <v>76363334</v>
      </c>
      <c r="AM93" s="404">
        <v>76363334</v>
      </c>
      <c r="AN93" s="404">
        <v>32000000</v>
      </c>
      <c r="AO93" s="328"/>
      <c r="AP93" s="328"/>
      <c r="AQ93" s="328"/>
      <c r="AR93" s="328"/>
      <c r="AS93" s="328"/>
      <c r="AT93" s="328"/>
      <c r="AU93" s="328">
        <f t="shared" si="3"/>
        <v>76363334</v>
      </c>
      <c r="AV93" s="328">
        <f t="shared" si="4"/>
        <v>76363334</v>
      </c>
      <c r="AW93" s="328">
        <f t="shared" si="5"/>
        <v>32000000</v>
      </c>
      <c r="AX93" s="385" t="s">
        <v>226</v>
      </c>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row>
    <row r="94" spans="1:129" s="332" customFormat="1" ht="80.25" customHeight="1" x14ac:dyDescent="0.25">
      <c r="A94" s="259">
        <v>309</v>
      </c>
      <c r="B94" s="325" t="s">
        <v>223</v>
      </c>
      <c r="C94" s="259"/>
      <c r="D94" s="325"/>
      <c r="E94" s="259">
        <v>2</v>
      </c>
      <c r="F94" s="325" t="s">
        <v>159</v>
      </c>
      <c r="G94" s="259">
        <v>45</v>
      </c>
      <c r="H94" s="325" t="s">
        <v>22</v>
      </c>
      <c r="I94" s="345">
        <v>4503</v>
      </c>
      <c r="J94" s="385" t="s">
        <v>292</v>
      </c>
      <c r="K94" s="313">
        <v>4503028</v>
      </c>
      <c r="L94" s="325" t="s">
        <v>305</v>
      </c>
      <c r="M94" s="277" t="s">
        <v>306</v>
      </c>
      <c r="N94" s="325" t="s">
        <v>1231</v>
      </c>
      <c r="O94" s="441" t="s">
        <v>67</v>
      </c>
      <c r="P94" s="279">
        <v>150</v>
      </c>
      <c r="Q94" s="279">
        <v>103</v>
      </c>
      <c r="R94" s="281">
        <v>2024003630089</v>
      </c>
      <c r="S94" s="435" t="s">
        <v>300</v>
      </c>
      <c r="T94" s="328"/>
      <c r="U94" s="328"/>
      <c r="V94" s="328"/>
      <c r="W94" s="328"/>
      <c r="X94" s="328"/>
      <c r="Y94" s="328"/>
      <c r="Z94" s="328"/>
      <c r="AA94" s="328"/>
      <c r="AB94" s="328"/>
      <c r="AC94" s="328"/>
      <c r="AD94" s="328"/>
      <c r="AE94" s="328"/>
      <c r="AF94" s="328"/>
      <c r="AG94" s="328"/>
      <c r="AH94" s="328"/>
      <c r="AI94" s="328"/>
      <c r="AJ94" s="328"/>
      <c r="AK94" s="328"/>
      <c r="AL94" s="404">
        <f>30000000-5000000</f>
        <v>25000000</v>
      </c>
      <c r="AM94" s="404">
        <v>0</v>
      </c>
      <c r="AN94" s="404">
        <v>0</v>
      </c>
      <c r="AO94" s="328"/>
      <c r="AP94" s="328"/>
      <c r="AQ94" s="328"/>
      <c r="AR94" s="328"/>
      <c r="AS94" s="328"/>
      <c r="AT94" s="328"/>
      <c r="AU94" s="328">
        <f t="shared" si="3"/>
        <v>25000000</v>
      </c>
      <c r="AV94" s="328">
        <f t="shared" si="4"/>
        <v>0</v>
      </c>
      <c r="AW94" s="328">
        <f t="shared" si="5"/>
        <v>0</v>
      </c>
      <c r="AX94" s="385" t="s">
        <v>226</v>
      </c>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row>
    <row r="95" spans="1:129" s="332" customFormat="1" ht="80.25" customHeight="1" x14ac:dyDescent="0.25">
      <c r="A95" s="259">
        <v>309</v>
      </c>
      <c r="B95" s="325" t="s">
        <v>223</v>
      </c>
      <c r="C95" s="259"/>
      <c r="D95" s="325"/>
      <c r="E95" s="259">
        <v>2</v>
      </c>
      <c r="F95" s="325" t="s">
        <v>159</v>
      </c>
      <c r="G95" s="259">
        <v>45</v>
      </c>
      <c r="H95" s="325" t="s">
        <v>22</v>
      </c>
      <c r="I95" s="345" t="s">
        <v>301</v>
      </c>
      <c r="J95" s="385" t="s">
        <v>292</v>
      </c>
      <c r="K95" s="259">
        <v>4503003</v>
      </c>
      <c r="L95" s="325" t="s">
        <v>69</v>
      </c>
      <c r="M95" s="277">
        <v>450300300</v>
      </c>
      <c r="N95" s="325" t="s">
        <v>296</v>
      </c>
      <c r="O95" s="345" t="s">
        <v>26</v>
      </c>
      <c r="P95" s="345">
        <v>12</v>
      </c>
      <c r="Q95" s="345" t="s">
        <v>1234</v>
      </c>
      <c r="R95" s="281">
        <v>2024003630089</v>
      </c>
      <c r="S95" s="435" t="s">
        <v>300</v>
      </c>
      <c r="T95" s="328"/>
      <c r="U95" s="328"/>
      <c r="V95" s="328"/>
      <c r="W95" s="328"/>
      <c r="X95" s="328"/>
      <c r="Y95" s="328"/>
      <c r="Z95" s="328"/>
      <c r="AA95" s="328"/>
      <c r="AB95" s="328"/>
      <c r="AC95" s="328"/>
      <c r="AD95" s="328"/>
      <c r="AE95" s="328"/>
      <c r="AF95" s="328"/>
      <c r="AG95" s="328"/>
      <c r="AH95" s="328"/>
      <c r="AI95" s="328"/>
      <c r="AJ95" s="328"/>
      <c r="AK95" s="328"/>
      <c r="AL95" s="404">
        <f>36500000+45000000-3653332</f>
        <v>77846668</v>
      </c>
      <c r="AM95" s="404">
        <v>77846668</v>
      </c>
      <c r="AN95" s="404">
        <v>31100000</v>
      </c>
      <c r="AO95" s="328"/>
      <c r="AP95" s="328"/>
      <c r="AQ95" s="328"/>
      <c r="AR95" s="328"/>
      <c r="AS95" s="328"/>
      <c r="AT95" s="328"/>
      <c r="AU95" s="328">
        <f t="shared" si="3"/>
        <v>77846668</v>
      </c>
      <c r="AV95" s="328">
        <f t="shared" si="4"/>
        <v>77846668</v>
      </c>
      <c r="AW95" s="328">
        <f t="shared" si="5"/>
        <v>31100000</v>
      </c>
      <c r="AX95" s="385" t="s">
        <v>226</v>
      </c>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row>
    <row r="96" spans="1:129" s="331" customFormat="1" ht="80.25" customHeight="1" x14ac:dyDescent="0.25">
      <c r="A96" s="257">
        <v>309</v>
      </c>
      <c r="B96" s="376" t="s">
        <v>223</v>
      </c>
      <c r="C96" s="257">
        <v>4</v>
      </c>
      <c r="D96" s="376" t="s">
        <v>36</v>
      </c>
      <c r="E96" s="257">
        <v>4</v>
      </c>
      <c r="F96" s="376" t="s">
        <v>102</v>
      </c>
      <c r="G96" s="257">
        <v>45</v>
      </c>
      <c r="H96" s="376" t="s">
        <v>22</v>
      </c>
      <c r="I96" s="257">
        <v>4502</v>
      </c>
      <c r="J96" s="376" t="s">
        <v>49</v>
      </c>
      <c r="K96" s="257">
        <v>4502024</v>
      </c>
      <c r="L96" s="376" t="s">
        <v>307</v>
      </c>
      <c r="M96" s="280">
        <v>450202400</v>
      </c>
      <c r="N96" s="388" t="s">
        <v>308</v>
      </c>
      <c r="O96" s="439" t="s">
        <v>26</v>
      </c>
      <c r="P96" s="280">
        <v>10</v>
      </c>
      <c r="Q96" s="280">
        <v>6</v>
      </c>
      <c r="R96" s="380">
        <v>2020003630067</v>
      </c>
      <c r="S96" s="445" t="s">
        <v>309</v>
      </c>
      <c r="T96" s="381"/>
      <c r="U96" s="381"/>
      <c r="V96" s="381"/>
      <c r="W96" s="381"/>
      <c r="X96" s="381"/>
      <c r="Y96" s="381"/>
      <c r="Z96" s="381"/>
      <c r="AA96" s="381"/>
      <c r="AB96" s="381"/>
      <c r="AC96" s="381"/>
      <c r="AD96" s="381"/>
      <c r="AE96" s="381"/>
      <c r="AF96" s="381"/>
      <c r="AG96" s="381"/>
      <c r="AH96" s="381"/>
      <c r="AI96" s="381"/>
      <c r="AJ96" s="381"/>
      <c r="AK96" s="381"/>
      <c r="AL96" s="400">
        <f>80000000+43000000-47600000</f>
        <v>75400000</v>
      </c>
      <c r="AM96" s="400">
        <v>75400000</v>
      </c>
      <c r="AN96" s="400">
        <v>71525200</v>
      </c>
      <c r="AO96" s="381"/>
      <c r="AP96" s="381"/>
      <c r="AQ96" s="381"/>
      <c r="AR96" s="381"/>
      <c r="AS96" s="381"/>
      <c r="AT96" s="381"/>
      <c r="AU96" s="381">
        <f t="shared" si="3"/>
        <v>75400000</v>
      </c>
      <c r="AV96" s="381">
        <f t="shared" si="4"/>
        <v>75400000</v>
      </c>
      <c r="AW96" s="381">
        <f t="shared" si="4"/>
        <v>71525200</v>
      </c>
      <c r="AX96" s="392" t="s">
        <v>226</v>
      </c>
    </row>
    <row r="97" spans="1:16331" s="332" customFormat="1" ht="80.25" customHeight="1" x14ac:dyDescent="0.25">
      <c r="A97" s="259">
        <v>309</v>
      </c>
      <c r="B97" s="325" t="s">
        <v>223</v>
      </c>
      <c r="C97" s="306"/>
      <c r="D97" s="386"/>
      <c r="E97" s="306">
        <v>4</v>
      </c>
      <c r="F97" s="386" t="s">
        <v>102</v>
      </c>
      <c r="G97" s="343" t="s">
        <v>29</v>
      </c>
      <c r="H97" s="386" t="s">
        <v>22</v>
      </c>
      <c r="I97" s="345">
        <v>4502</v>
      </c>
      <c r="J97" s="435" t="s">
        <v>49</v>
      </c>
      <c r="K97" s="281" t="s">
        <v>310</v>
      </c>
      <c r="L97" s="435" t="s">
        <v>307</v>
      </c>
      <c r="M97" s="287" t="s">
        <v>311</v>
      </c>
      <c r="N97" s="435" t="s">
        <v>308</v>
      </c>
      <c r="O97" s="345" t="s">
        <v>26</v>
      </c>
      <c r="P97" s="345">
        <v>10</v>
      </c>
      <c r="Q97" s="345" t="s">
        <v>1269</v>
      </c>
      <c r="R97" s="281">
        <v>2024003630074</v>
      </c>
      <c r="S97" s="435" t="s">
        <v>312</v>
      </c>
      <c r="T97" s="328"/>
      <c r="U97" s="328"/>
      <c r="V97" s="328"/>
      <c r="W97" s="328"/>
      <c r="X97" s="328"/>
      <c r="Y97" s="328"/>
      <c r="Z97" s="328"/>
      <c r="AA97" s="328"/>
      <c r="AB97" s="328"/>
      <c r="AC97" s="328"/>
      <c r="AD97" s="328"/>
      <c r="AE97" s="328"/>
      <c r="AF97" s="328"/>
      <c r="AG97" s="328"/>
      <c r="AH97" s="328"/>
      <c r="AI97" s="328"/>
      <c r="AJ97" s="328"/>
      <c r="AK97" s="328"/>
      <c r="AL97" s="404">
        <v>47600000</v>
      </c>
      <c r="AM97" s="404">
        <v>47146666</v>
      </c>
      <c r="AN97" s="404">
        <v>32600000</v>
      </c>
      <c r="AO97" s="328"/>
      <c r="AP97" s="328"/>
      <c r="AQ97" s="328"/>
      <c r="AR97" s="328"/>
      <c r="AS97" s="328"/>
      <c r="AT97" s="328"/>
      <c r="AU97" s="328">
        <f t="shared" si="3"/>
        <v>47600000</v>
      </c>
      <c r="AV97" s="328">
        <f t="shared" si="4"/>
        <v>47146666</v>
      </c>
      <c r="AW97" s="328">
        <f t="shared" si="5"/>
        <v>32600000</v>
      </c>
      <c r="AX97" s="385" t="s">
        <v>226</v>
      </c>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row>
    <row r="98" spans="1:16331" s="331" customFormat="1" ht="80.25" customHeight="1" x14ac:dyDescent="0.25">
      <c r="A98" s="262">
        <v>309</v>
      </c>
      <c r="B98" s="376" t="s">
        <v>223</v>
      </c>
      <c r="C98" s="257">
        <v>4</v>
      </c>
      <c r="D98" s="376" t="s">
        <v>36</v>
      </c>
      <c r="E98" s="257">
        <v>4</v>
      </c>
      <c r="F98" s="376" t="s">
        <v>102</v>
      </c>
      <c r="G98" s="257">
        <v>45</v>
      </c>
      <c r="H98" s="376" t="s">
        <v>22</v>
      </c>
      <c r="I98" s="257">
        <v>4502</v>
      </c>
      <c r="J98" s="376" t="s">
        <v>49</v>
      </c>
      <c r="K98" s="257">
        <v>4502001</v>
      </c>
      <c r="L98" s="376" t="s">
        <v>59</v>
      </c>
      <c r="M98" s="262">
        <v>450200100</v>
      </c>
      <c r="N98" s="388" t="s">
        <v>60</v>
      </c>
      <c r="O98" s="439" t="s">
        <v>26</v>
      </c>
      <c r="P98" s="280">
        <v>3</v>
      </c>
      <c r="Q98" s="280">
        <v>3</v>
      </c>
      <c r="R98" s="380">
        <v>2020003630071</v>
      </c>
      <c r="S98" s="445" t="s">
        <v>313</v>
      </c>
      <c r="T98" s="381"/>
      <c r="U98" s="381"/>
      <c r="V98" s="381"/>
      <c r="W98" s="381"/>
      <c r="X98" s="381"/>
      <c r="Y98" s="381"/>
      <c r="Z98" s="381"/>
      <c r="AA98" s="381"/>
      <c r="AB98" s="381"/>
      <c r="AC98" s="381"/>
      <c r="AD98" s="381"/>
      <c r="AE98" s="381"/>
      <c r="AF98" s="381"/>
      <c r="AG98" s="381"/>
      <c r="AH98" s="381"/>
      <c r="AI98" s="381"/>
      <c r="AJ98" s="381"/>
      <c r="AK98" s="381"/>
      <c r="AL98" s="400">
        <f>190000000+800000000+49300000-800000000+15000000-100600000</f>
        <v>153700000</v>
      </c>
      <c r="AM98" s="400">
        <f>190000000+800000000+49300000-800000000+15000000-100600000</f>
        <v>153700000</v>
      </c>
      <c r="AN98" s="400">
        <v>151700000</v>
      </c>
      <c r="AO98" s="381"/>
      <c r="AP98" s="381"/>
      <c r="AQ98" s="381"/>
      <c r="AR98" s="381"/>
      <c r="AS98" s="381"/>
      <c r="AT98" s="381"/>
      <c r="AU98" s="381">
        <f t="shared" si="3"/>
        <v>153700000</v>
      </c>
      <c r="AV98" s="381">
        <f t="shared" si="4"/>
        <v>153700000</v>
      </c>
      <c r="AW98" s="381">
        <f t="shared" si="5"/>
        <v>151700000</v>
      </c>
      <c r="AX98" s="392" t="s">
        <v>226</v>
      </c>
    </row>
    <row r="99" spans="1:16331" s="331" customFormat="1" ht="80.25" customHeight="1" x14ac:dyDescent="0.25">
      <c r="A99" s="257">
        <v>309</v>
      </c>
      <c r="B99" s="376" t="s">
        <v>223</v>
      </c>
      <c r="C99" s="257">
        <v>4</v>
      </c>
      <c r="D99" s="376" t="s">
        <v>36</v>
      </c>
      <c r="E99" s="257">
        <v>4</v>
      </c>
      <c r="F99" s="376" t="s">
        <v>102</v>
      </c>
      <c r="G99" s="257">
        <v>45</v>
      </c>
      <c r="H99" s="376" t="s">
        <v>22</v>
      </c>
      <c r="I99" s="257">
        <v>4502</v>
      </c>
      <c r="J99" s="376" t="s">
        <v>49</v>
      </c>
      <c r="K99" s="313">
        <v>4502001</v>
      </c>
      <c r="L99" s="376" t="s">
        <v>59</v>
      </c>
      <c r="M99" s="268">
        <v>450200111</v>
      </c>
      <c r="N99" s="326" t="s">
        <v>314</v>
      </c>
      <c r="O99" s="439" t="s">
        <v>26</v>
      </c>
      <c r="P99" s="446">
        <v>1</v>
      </c>
      <c r="Q99" s="446">
        <v>0.97</v>
      </c>
      <c r="R99" s="380">
        <v>2020003630071</v>
      </c>
      <c r="S99" s="445" t="s">
        <v>313</v>
      </c>
      <c r="T99" s="381"/>
      <c r="U99" s="381"/>
      <c r="V99" s="381"/>
      <c r="W99" s="381"/>
      <c r="X99" s="381"/>
      <c r="Y99" s="381"/>
      <c r="Z99" s="381"/>
      <c r="AA99" s="381"/>
      <c r="AB99" s="381"/>
      <c r="AC99" s="381"/>
      <c r="AD99" s="381"/>
      <c r="AE99" s="381"/>
      <c r="AF99" s="381"/>
      <c r="AG99" s="381"/>
      <c r="AH99" s="381"/>
      <c r="AI99" s="381"/>
      <c r="AJ99" s="381"/>
      <c r="AK99" s="381"/>
      <c r="AL99" s="400">
        <f>50000000+100000000+34000000-15000000-112300000</f>
        <v>56700000</v>
      </c>
      <c r="AM99" s="400">
        <v>56700000</v>
      </c>
      <c r="AN99" s="400">
        <v>55700000</v>
      </c>
      <c r="AO99" s="381"/>
      <c r="AP99" s="381"/>
      <c r="AQ99" s="381"/>
      <c r="AR99" s="381"/>
      <c r="AS99" s="381"/>
      <c r="AT99" s="381"/>
      <c r="AU99" s="381">
        <f t="shared" si="3"/>
        <v>56700000</v>
      </c>
      <c r="AV99" s="381">
        <f t="shared" si="4"/>
        <v>56700000</v>
      </c>
      <c r="AW99" s="381">
        <f t="shared" si="5"/>
        <v>55700000</v>
      </c>
      <c r="AX99" s="392" t="s">
        <v>226</v>
      </c>
    </row>
    <row r="100" spans="1:16331" s="331" customFormat="1" ht="80.25" customHeight="1" x14ac:dyDescent="0.25">
      <c r="A100" s="257">
        <v>309</v>
      </c>
      <c r="B100" s="447" t="s">
        <v>223</v>
      </c>
      <c r="C100" s="283">
        <v>4</v>
      </c>
      <c r="D100" s="447" t="s">
        <v>36</v>
      </c>
      <c r="E100" s="283">
        <v>4</v>
      </c>
      <c r="F100" s="447" t="s">
        <v>102</v>
      </c>
      <c r="G100" s="257">
        <v>45</v>
      </c>
      <c r="H100" s="447" t="s">
        <v>22</v>
      </c>
      <c r="I100" s="257">
        <v>4502</v>
      </c>
      <c r="J100" s="447" t="s">
        <v>49</v>
      </c>
      <c r="K100" s="257">
        <v>4502001</v>
      </c>
      <c r="L100" s="447" t="s">
        <v>59</v>
      </c>
      <c r="M100" s="260">
        <v>450200109</v>
      </c>
      <c r="N100" s="326" t="s">
        <v>315</v>
      </c>
      <c r="O100" s="439" t="s">
        <v>26</v>
      </c>
      <c r="P100" s="280">
        <v>12</v>
      </c>
      <c r="Q100" s="280">
        <v>6</v>
      </c>
      <c r="R100" s="380">
        <v>2020003630071</v>
      </c>
      <c r="S100" s="445" t="s">
        <v>313</v>
      </c>
      <c r="T100" s="381"/>
      <c r="U100" s="381"/>
      <c r="V100" s="381"/>
      <c r="W100" s="381"/>
      <c r="X100" s="381"/>
      <c r="Y100" s="381"/>
      <c r="Z100" s="381"/>
      <c r="AA100" s="381"/>
      <c r="AB100" s="381"/>
      <c r="AC100" s="381"/>
      <c r="AD100" s="381"/>
      <c r="AE100" s="381"/>
      <c r="AF100" s="381"/>
      <c r="AG100" s="381"/>
      <c r="AH100" s="381"/>
      <c r="AI100" s="381"/>
      <c r="AJ100" s="381"/>
      <c r="AK100" s="381"/>
      <c r="AL100" s="400">
        <f>35000000+800000000+800000000-103834646</f>
        <v>1531165354</v>
      </c>
      <c r="AM100" s="400">
        <f>1508365354+22800000</f>
        <v>1531165354</v>
      </c>
      <c r="AN100" s="400">
        <f>1508365354+21800000</f>
        <v>1530165354</v>
      </c>
      <c r="AO100" s="381"/>
      <c r="AP100" s="381"/>
      <c r="AQ100" s="381"/>
      <c r="AR100" s="381"/>
      <c r="AS100" s="381"/>
      <c r="AT100" s="381"/>
      <c r="AU100" s="381">
        <f t="shared" si="3"/>
        <v>1531165354</v>
      </c>
      <c r="AV100" s="381">
        <f t="shared" si="4"/>
        <v>1531165354</v>
      </c>
      <c r="AW100" s="381">
        <f t="shared" si="5"/>
        <v>1530165354</v>
      </c>
      <c r="AX100" s="392" t="s">
        <v>226</v>
      </c>
    </row>
    <row r="101" spans="1:16331" s="331" customFormat="1" ht="80.25" customHeight="1" x14ac:dyDescent="0.25">
      <c r="A101" s="257">
        <v>309</v>
      </c>
      <c r="B101" s="376" t="s">
        <v>223</v>
      </c>
      <c r="C101" s="257">
        <v>4</v>
      </c>
      <c r="D101" s="376" t="s">
        <v>36</v>
      </c>
      <c r="E101" s="257">
        <v>4</v>
      </c>
      <c r="F101" s="376" t="s">
        <v>102</v>
      </c>
      <c r="G101" s="257">
        <v>45</v>
      </c>
      <c r="H101" s="376" t="s">
        <v>22</v>
      </c>
      <c r="I101" s="257">
        <v>4502</v>
      </c>
      <c r="J101" s="376" t="s">
        <v>49</v>
      </c>
      <c r="K101" s="257">
        <v>4502035</v>
      </c>
      <c r="L101" s="376" t="s">
        <v>316</v>
      </c>
      <c r="M101" s="13">
        <v>450203501</v>
      </c>
      <c r="N101" s="388" t="s">
        <v>317</v>
      </c>
      <c r="O101" s="439" t="s">
        <v>67</v>
      </c>
      <c r="P101" s="280">
        <v>0.2</v>
      </c>
      <c r="Q101" s="280">
        <v>0.1</v>
      </c>
      <c r="R101" s="380">
        <v>2020003630071</v>
      </c>
      <c r="S101" s="445" t="s">
        <v>313</v>
      </c>
      <c r="T101" s="381"/>
      <c r="U101" s="381"/>
      <c r="V101" s="381"/>
      <c r="W101" s="381"/>
      <c r="X101" s="381"/>
      <c r="Y101" s="381"/>
      <c r="Z101" s="381"/>
      <c r="AA101" s="381"/>
      <c r="AB101" s="381"/>
      <c r="AC101" s="381"/>
      <c r="AD101" s="381"/>
      <c r="AE101" s="381"/>
      <c r="AF101" s="381"/>
      <c r="AG101" s="381"/>
      <c r="AH101" s="381"/>
      <c r="AI101" s="381"/>
      <c r="AJ101" s="381"/>
      <c r="AK101" s="381"/>
      <c r="AL101" s="400">
        <f>59804619.64-45004619.64</f>
        <v>14800000</v>
      </c>
      <c r="AM101" s="400">
        <v>14800000</v>
      </c>
      <c r="AN101" s="400">
        <v>9800000</v>
      </c>
      <c r="AO101" s="381"/>
      <c r="AP101" s="381"/>
      <c r="AQ101" s="381"/>
      <c r="AR101" s="381"/>
      <c r="AS101" s="381"/>
      <c r="AT101" s="381"/>
      <c r="AU101" s="381">
        <f t="shared" si="3"/>
        <v>14800000</v>
      </c>
      <c r="AV101" s="381">
        <f t="shared" si="4"/>
        <v>14800000</v>
      </c>
      <c r="AW101" s="381">
        <f t="shared" si="5"/>
        <v>9800000</v>
      </c>
      <c r="AX101" s="392" t="s">
        <v>226</v>
      </c>
    </row>
    <row r="102" spans="1:16331" s="332" customFormat="1" ht="80.25" customHeight="1" x14ac:dyDescent="0.25">
      <c r="A102" s="259">
        <v>309</v>
      </c>
      <c r="B102" s="435" t="s">
        <v>223</v>
      </c>
      <c r="C102" s="313"/>
      <c r="D102" s="448"/>
      <c r="E102" s="313">
        <v>4</v>
      </c>
      <c r="F102" s="448" t="s">
        <v>102</v>
      </c>
      <c r="G102" s="343" t="s">
        <v>29</v>
      </c>
      <c r="H102" s="385" t="s">
        <v>22</v>
      </c>
      <c r="I102" s="345">
        <v>4502</v>
      </c>
      <c r="J102" s="435" t="s">
        <v>49</v>
      </c>
      <c r="K102" s="281">
        <v>4502001</v>
      </c>
      <c r="L102" s="435" t="s">
        <v>59</v>
      </c>
      <c r="M102" s="443" t="s">
        <v>318</v>
      </c>
      <c r="N102" s="444" t="s">
        <v>314</v>
      </c>
      <c r="O102" s="345" t="s">
        <v>26</v>
      </c>
      <c r="P102" s="259">
        <v>1</v>
      </c>
      <c r="Q102" s="259">
        <v>1</v>
      </c>
      <c r="R102" s="281">
        <v>2024003630083</v>
      </c>
      <c r="S102" s="325" t="s">
        <v>319</v>
      </c>
      <c r="T102" s="328"/>
      <c r="U102" s="328"/>
      <c r="V102" s="328"/>
      <c r="W102" s="328"/>
      <c r="X102" s="328"/>
      <c r="Y102" s="328"/>
      <c r="Z102" s="328"/>
      <c r="AA102" s="328"/>
      <c r="AB102" s="328"/>
      <c r="AC102" s="328"/>
      <c r="AD102" s="328"/>
      <c r="AE102" s="328"/>
      <c r="AF102" s="328"/>
      <c r="AG102" s="328"/>
      <c r="AH102" s="328"/>
      <c r="AI102" s="328"/>
      <c r="AJ102" s="328"/>
      <c r="AK102" s="328"/>
      <c r="AL102" s="404">
        <v>241734646</v>
      </c>
      <c r="AM102" s="404">
        <f>256831312-AM104</f>
        <v>207647979</v>
      </c>
      <c r="AN102" s="404">
        <f>90900000-AN104</f>
        <v>79400000</v>
      </c>
      <c r="AO102" s="328"/>
      <c r="AP102" s="328"/>
      <c r="AQ102" s="328"/>
      <c r="AR102" s="328"/>
      <c r="AS102" s="328"/>
      <c r="AT102" s="328"/>
      <c r="AU102" s="328">
        <f t="shared" si="3"/>
        <v>241734646</v>
      </c>
      <c r="AV102" s="328">
        <f t="shared" si="4"/>
        <v>207647979</v>
      </c>
      <c r="AW102" s="328">
        <f t="shared" si="5"/>
        <v>79400000</v>
      </c>
      <c r="AX102" s="385" t="s">
        <v>226</v>
      </c>
      <c r="AY102" s="331"/>
      <c r="AZ102" s="331"/>
      <c r="BA102" s="449"/>
      <c r="BB102" s="449"/>
      <c r="BC102" s="449"/>
      <c r="BD102" s="449"/>
      <c r="BE102" s="449"/>
      <c r="BF102" s="449"/>
      <c r="BG102" s="449"/>
      <c r="BH102" s="449"/>
      <c r="BI102" s="449"/>
      <c r="BJ102" s="449"/>
      <c r="BK102" s="449"/>
      <c r="BL102" s="449"/>
      <c r="BM102" s="449"/>
      <c r="BN102" s="449"/>
      <c r="BO102" s="449"/>
      <c r="BP102" s="449"/>
      <c r="BQ102" s="449"/>
      <c r="BR102" s="449"/>
      <c r="BS102" s="449"/>
      <c r="BT102" s="449"/>
      <c r="BU102" s="449"/>
      <c r="BV102" s="449"/>
      <c r="BW102" s="449"/>
      <c r="BX102" s="449"/>
      <c r="BY102" s="449"/>
      <c r="BZ102" s="449"/>
      <c r="CA102" s="449"/>
      <c r="CB102" s="449"/>
      <c r="CC102" s="449"/>
      <c r="CD102" s="449"/>
      <c r="CE102" s="449"/>
      <c r="CF102" s="449"/>
      <c r="CG102" s="449"/>
      <c r="CH102" s="449"/>
      <c r="CI102" s="449"/>
      <c r="CJ102" s="449"/>
      <c r="CK102" s="449"/>
      <c r="CL102" s="449"/>
      <c r="CM102" s="449"/>
      <c r="CN102" s="449"/>
      <c r="CO102" s="449"/>
      <c r="CP102" s="449"/>
      <c r="CQ102" s="449"/>
      <c r="CR102" s="449"/>
      <c r="CS102" s="449"/>
      <c r="CT102" s="449"/>
      <c r="CU102" s="449"/>
      <c r="CV102" s="449"/>
      <c r="CW102" s="449"/>
      <c r="CX102" s="449"/>
      <c r="CY102" s="449"/>
      <c r="CZ102" s="449"/>
      <c r="DA102" s="449"/>
      <c r="DB102" s="449"/>
      <c r="DC102" s="449"/>
      <c r="DD102" s="449"/>
      <c r="DE102" s="449"/>
      <c r="DF102" s="449"/>
      <c r="DG102" s="449"/>
      <c r="DH102" s="449"/>
      <c r="DI102" s="449"/>
      <c r="DJ102" s="449"/>
      <c r="DK102" s="449"/>
      <c r="DL102" s="449"/>
      <c r="DM102" s="449"/>
      <c r="DN102" s="449"/>
      <c r="DO102" s="449"/>
      <c r="DP102" s="449"/>
      <c r="DQ102" s="449"/>
      <c r="DR102" s="449"/>
      <c r="DS102" s="449"/>
      <c r="DT102" s="449"/>
      <c r="DU102" s="449"/>
      <c r="DV102" s="449"/>
      <c r="DW102" s="449"/>
      <c r="DX102" s="449"/>
      <c r="DY102" s="449"/>
      <c r="DZ102" s="450"/>
      <c r="EA102" s="450"/>
      <c r="EB102" s="450"/>
      <c r="EC102" s="450"/>
      <c r="ED102" s="450"/>
      <c r="EE102" s="450"/>
      <c r="EF102" s="450"/>
      <c r="EG102" s="450"/>
      <c r="EH102" s="450"/>
      <c r="EI102" s="450"/>
      <c r="EJ102" s="450"/>
      <c r="EK102" s="450"/>
      <c r="EL102" s="450"/>
      <c r="EM102" s="450"/>
      <c r="EN102" s="450"/>
      <c r="EO102" s="450"/>
      <c r="EP102" s="450"/>
      <c r="EQ102" s="450"/>
      <c r="ER102" s="450"/>
      <c r="ES102" s="450"/>
      <c r="ET102" s="450"/>
      <c r="EU102" s="450"/>
      <c r="EV102" s="450"/>
      <c r="EW102" s="450"/>
      <c r="EX102" s="450"/>
      <c r="EY102" s="450"/>
      <c r="EZ102" s="450"/>
      <c r="FA102" s="450"/>
      <c r="FB102" s="450"/>
      <c r="FC102" s="450"/>
      <c r="FD102" s="450"/>
      <c r="FE102" s="450"/>
      <c r="FF102" s="450"/>
      <c r="FG102" s="450"/>
      <c r="FH102" s="450"/>
      <c r="FI102" s="450"/>
      <c r="FJ102" s="450"/>
      <c r="FK102" s="450"/>
      <c r="FL102" s="450"/>
      <c r="FM102" s="450"/>
      <c r="FN102" s="450"/>
      <c r="FO102" s="450"/>
      <c r="FP102" s="450"/>
      <c r="FQ102" s="450"/>
      <c r="FR102" s="450"/>
      <c r="FS102" s="450"/>
      <c r="FT102" s="450"/>
      <c r="FU102" s="450"/>
      <c r="FV102" s="450"/>
      <c r="FW102" s="450"/>
      <c r="FX102" s="450"/>
      <c r="FY102" s="450"/>
      <c r="FZ102" s="450"/>
      <c r="GA102" s="450"/>
      <c r="GB102" s="450"/>
      <c r="GC102" s="450"/>
      <c r="GD102" s="450"/>
      <c r="GE102" s="450"/>
      <c r="GF102" s="450"/>
      <c r="GG102" s="450"/>
      <c r="GH102" s="450"/>
      <c r="GI102" s="450"/>
      <c r="GJ102" s="450"/>
      <c r="GK102" s="450"/>
      <c r="GL102" s="450"/>
      <c r="GM102" s="450"/>
      <c r="GN102" s="450"/>
      <c r="GO102" s="450"/>
      <c r="GP102" s="450"/>
      <c r="GQ102" s="450"/>
      <c r="GR102" s="450"/>
      <c r="GS102" s="450"/>
      <c r="GT102" s="450"/>
      <c r="GU102" s="450"/>
      <c r="GV102" s="450"/>
      <c r="GW102" s="450"/>
      <c r="GX102" s="450"/>
      <c r="GY102" s="450"/>
      <c r="GZ102" s="450"/>
      <c r="HA102" s="450"/>
      <c r="HB102" s="450"/>
      <c r="HC102" s="450"/>
      <c r="HD102" s="450"/>
      <c r="HE102" s="450"/>
      <c r="HF102" s="450"/>
      <c r="HG102" s="450"/>
      <c r="HH102" s="450"/>
      <c r="HI102" s="450"/>
      <c r="HJ102" s="450"/>
      <c r="HK102" s="450"/>
      <c r="HL102" s="450"/>
      <c r="HM102" s="450"/>
      <c r="HN102" s="450"/>
      <c r="HO102" s="450"/>
      <c r="HP102" s="450"/>
      <c r="HQ102" s="450"/>
      <c r="HR102" s="450"/>
      <c r="HS102" s="450"/>
      <c r="HT102" s="450"/>
      <c r="HU102" s="450"/>
      <c r="HV102" s="450"/>
      <c r="HW102" s="450"/>
      <c r="HX102" s="450"/>
      <c r="HY102" s="450"/>
      <c r="HZ102" s="450"/>
      <c r="IA102" s="450"/>
      <c r="IB102" s="450"/>
      <c r="IC102" s="450"/>
      <c r="ID102" s="450"/>
      <c r="IE102" s="450"/>
      <c r="IF102" s="450"/>
      <c r="IG102" s="450"/>
      <c r="IH102" s="450"/>
      <c r="II102" s="450"/>
      <c r="IJ102" s="450"/>
      <c r="IK102" s="450"/>
      <c r="IL102" s="450"/>
      <c r="IM102" s="450"/>
      <c r="IN102" s="450"/>
      <c r="IO102" s="450"/>
      <c r="IP102" s="450"/>
      <c r="IQ102" s="450"/>
      <c r="IR102" s="450"/>
      <c r="IS102" s="450"/>
      <c r="IT102" s="450"/>
      <c r="IU102" s="450"/>
      <c r="IV102" s="450"/>
      <c r="IW102" s="450"/>
      <c r="IX102" s="450"/>
      <c r="IY102" s="450"/>
      <c r="IZ102" s="450"/>
      <c r="JA102" s="450"/>
      <c r="JB102" s="450"/>
      <c r="JC102" s="450"/>
      <c r="JD102" s="450"/>
      <c r="JE102" s="450"/>
      <c r="JF102" s="450"/>
      <c r="JG102" s="450"/>
      <c r="JH102" s="450"/>
      <c r="JI102" s="450"/>
      <c r="JJ102" s="450"/>
      <c r="JK102" s="450"/>
      <c r="JL102" s="450"/>
      <c r="JM102" s="450"/>
      <c r="JN102" s="450"/>
      <c r="JO102" s="450"/>
      <c r="JP102" s="450"/>
      <c r="JQ102" s="450"/>
      <c r="JR102" s="450"/>
      <c r="JS102" s="450"/>
      <c r="JT102" s="450"/>
      <c r="JU102" s="450"/>
      <c r="JV102" s="450"/>
      <c r="JW102" s="450"/>
      <c r="JX102" s="450"/>
      <c r="JY102" s="450"/>
      <c r="JZ102" s="450"/>
      <c r="KA102" s="450"/>
      <c r="KB102" s="450"/>
      <c r="KC102" s="450"/>
      <c r="KD102" s="450"/>
      <c r="KE102" s="450"/>
      <c r="KF102" s="450"/>
      <c r="KG102" s="450"/>
      <c r="KH102" s="450"/>
      <c r="KI102" s="450"/>
      <c r="KJ102" s="450"/>
      <c r="KK102" s="450"/>
      <c r="KL102" s="450"/>
      <c r="KM102" s="450"/>
      <c r="KN102" s="450"/>
      <c r="KO102" s="450"/>
      <c r="KP102" s="450"/>
      <c r="KQ102" s="450"/>
      <c r="KR102" s="450"/>
      <c r="KS102" s="450"/>
      <c r="KT102" s="450"/>
      <c r="KU102" s="450"/>
      <c r="KV102" s="450"/>
      <c r="KW102" s="450"/>
      <c r="KX102" s="450"/>
      <c r="KY102" s="450"/>
      <c r="KZ102" s="450"/>
      <c r="LA102" s="450"/>
      <c r="LB102" s="450"/>
      <c r="LC102" s="450"/>
      <c r="LD102" s="450"/>
      <c r="LE102" s="450"/>
      <c r="LF102" s="450"/>
      <c r="LG102" s="450"/>
      <c r="LH102" s="450"/>
      <c r="LI102" s="450"/>
      <c r="LJ102" s="450"/>
      <c r="LK102" s="450"/>
      <c r="LL102" s="450"/>
      <c r="LM102" s="450"/>
      <c r="LN102" s="450"/>
      <c r="LO102" s="450"/>
      <c r="LP102" s="450"/>
      <c r="LQ102" s="450"/>
      <c r="LR102" s="450"/>
      <c r="LS102" s="450"/>
      <c r="LT102" s="450"/>
      <c r="LU102" s="450"/>
      <c r="LV102" s="450"/>
      <c r="LW102" s="450"/>
      <c r="LX102" s="450"/>
      <c r="LY102" s="450"/>
      <c r="LZ102" s="450"/>
      <c r="MA102" s="450"/>
      <c r="MB102" s="450"/>
      <c r="MC102" s="450"/>
      <c r="MD102" s="450"/>
      <c r="ME102" s="450"/>
      <c r="MF102" s="450"/>
      <c r="MG102" s="450"/>
      <c r="MH102" s="450"/>
      <c r="MI102" s="450"/>
      <c r="MJ102" s="450"/>
      <c r="MK102" s="450"/>
      <c r="ML102" s="450"/>
      <c r="MM102" s="450"/>
      <c r="MN102" s="450"/>
      <c r="MO102" s="450"/>
      <c r="MP102" s="450"/>
      <c r="MQ102" s="450"/>
      <c r="MR102" s="450"/>
      <c r="MS102" s="450"/>
      <c r="MT102" s="450"/>
      <c r="MU102" s="450"/>
      <c r="MV102" s="450"/>
      <c r="MW102" s="450"/>
      <c r="MX102" s="450"/>
      <c r="MY102" s="450"/>
      <c r="MZ102" s="450"/>
      <c r="NA102" s="450"/>
      <c r="NB102" s="450"/>
      <c r="NC102" s="450"/>
      <c r="ND102" s="450"/>
      <c r="NE102" s="450"/>
      <c r="NF102" s="450"/>
      <c r="NG102" s="450"/>
      <c r="NH102" s="450"/>
      <c r="NI102" s="450"/>
      <c r="NJ102" s="450"/>
      <c r="NK102" s="450"/>
      <c r="NL102" s="450"/>
      <c r="NM102" s="450"/>
      <c r="NN102" s="450"/>
      <c r="NO102" s="450"/>
      <c r="NP102" s="450"/>
      <c r="NQ102" s="450"/>
      <c r="NR102" s="450"/>
      <c r="NS102" s="450"/>
      <c r="NT102" s="450"/>
      <c r="NU102" s="450"/>
      <c r="NV102" s="450"/>
      <c r="NW102" s="450"/>
      <c r="NX102" s="450"/>
      <c r="NY102" s="450"/>
      <c r="NZ102" s="450"/>
      <c r="OA102" s="450"/>
      <c r="OB102" s="450"/>
      <c r="OC102" s="450"/>
      <c r="OD102" s="450"/>
      <c r="OE102" s="450"/>
      <c r="OF102" s="450"/>
      <c r="OG102" s="450"/>
      <c r="OH102" s="450"/>
      <c r="OI102" s="450"/>
      <c r="OJ102" s="450"/>
      <c r="OK102" s="450"/>
      <c r="OL102" s="450"/>
      <c r="OM102" s="450"/>
      <c r="ON102" s="450"/>
      <c r="OO102" s="450"/>
      <c r="OP102" s="450"/>
      <c r="OQ102" s="450"/>
      <c r="OR102" s="450"/>
      <c r="OS102" s="450"/>
      <c r="OT102" s="450"/>
      <c r="OU102" s="450"/>
      <c r="OV102" s="450"/>
      <c r="OW102" s="450"/>
      <c r="OX102" s="450"/>
      <c r="OY102" s="450"/>
      <c r="OZ102" s="450"/>
      <c r="PA102" s="450"/>
      <c r="PB102" s="450"/>
      <c r="PC102" s="450"/>
      <c r="PD102" s="450"/>
      <c r="PE102" s="450"/>
      <c r="PF102" s="450"/>
      <c r="PG102" s="450"/>
      <c r="PH102" s="450"/>
      <c r="PI102" s="450"/>
      <c r="PJ102" s="450"/>
      <c r="PK102" s="450"/>
      <c r="PL102" s="450"/>
      <c r="PM102" s="450"/>
      <c r="PN102" s="450"/>
      <c r="PO102" s="450"/>
      <c r="PP102" s="450"/>
      <c r="PQ102" s="450"/>
      <c r="PR102" s="450"/>
      <c r="PS102" s="450"/>
      <c r="PT102" s="450"/>
      <c r="PU102" s="450"/>
      <c r="PV102" s="450"/>
      <c r="PW102" s="450"/>
      <c r="PX102" s="450"/>
      <c r="PY102" s="450"/>
      <c r="PZ102" s="450"/>
      <c r="QA102" s="450"/>
      <c r="QB102" s="450"/>
      <c r="QC102" s="450"/>
      <c r="QD102" s="450"/>
      <c r="QE102" s="450"/>
      <c r="QF102" s="450"/>
      <c r="QG102" s="450"/>
      <c r="QH102" s="450"/>
      <c r="QI102" s="450"/>
      <c r="QJ102" s="450"/>
      <c r="QK102" s="450"/>
      <c r="QL102" s="450"/>
      <c r="QM102" s="450"/>
      <c r="QN102" s="450"/>
      <c r="QO102" s="450"/>
      <c r="QP102" s="450"/>
      <c r="QQ102" s="450"/>
      <c r="QR102" s="450"/>
      <c r="QS102" s="450"/>
      <c r="QT102" s="450"/>
      <c r="QU102" s="450"/>
      <c r="QV102" s="450"/>
      <c r="QW102" s="450"/>
      <c r="QX102" s="450"/>
      <c r="QY102" s="450"/>
      <c r="QZ102" s="450"/>
      <c r="RA102" s="450"/>
      <c r="RB102" s="450"/>
      <c r="RC102" s="450"/>
      <c r="RD102" s="450"/>
      <c r="RE102" s="450"/>
      <c r="RF102" s="450"/>
      <c r="RG102" s="450"/>
      <c r="RH102" s="450"/>
      <c r="RI102" s="450"/>
      <c r="RJ102" s="450"/>
      <c r="RK102" s="450"/>
      <c r="RL102" s="450"/>
      <c r="RM102" s="450"/>
      <c r="RN102" s="450"/>
      <c r="RO102" s="450"/>
      <c r="RP102" s="450"/>
      <c r="RQ102" s="450"/>
      <c r="RR102" s="450"/>
      <c r="RS102" s="450"/>
      <c r="RT102" s="450"/>
      <c r="RU102" s="450"/>
      <c r="RV102" s="450"/>
      <c r="RW102" s="450"/>
      <c r="RX102" s="450"/>
      <c r="RY102" s="450"/>
      <c r="RZ102" s="450"/>
      <c r="SA102" s="450"/>
      <c r="SB102" s="450"/>
      <c r="SC102" s="450"/>
      <c r="SD102" s="450"/>
      <c r="SE102" s="450"/>
      <c r="SF102" s="450"/>
      <c r="SG102" s="450"/>
      <c r="SH102" s="450"/>
      <c r="SI102" s="450"/>
      <c r="SJ102" s="450"/>
      <c r="SK102" s="450"/>
      <c r="SL102" s="450"/>
      <c r="SM102" s="450"/>
      <c r="SN102" s="450"/>
      <c r="SO102" s="450"/>
      <c r="SP102" s="450"/>
      <c r="SQ102" s="450"/>
      <c r="SR102" s="450"/>
      <c r="SS102" s="450"/>
      <c r="ST102" s="450"/>
      <c r="SU102" s="450"/>
      <c r="SV102" s="450"/>
      <c r="SW102" s="450"/>
      <c r="SX102" s="450"/>
      <c r="SY102" s="450"/>
      <c r="SZ102" s="450"/>
      <c r="TA102" s="450"/>
      <c r="TB102" s="450"/>
      <c r="TC102" s="450"/>
      <c r="TD102" s="450"/>
      <c r="TE102" s="450"/>
      <c r="TF102" s="450"/>
      <c r="TG102" s="450"/>
      <c r="TH102" s="450"/>
      <c r="TI102" s="450"/>
      <c r="TJ102" s="450"/>
      <c r="TK102" s="450"/>
      <c r="TL102" s="450"/>
      <c r="TM102" s="450"/>
      <c r="TN102" s="450"/>
      <c r="TO102" s="450"/>
      <c r="TP102" s="450"/>
      <c r="TQ102" s="450"/>
      <c r="TR102" s="450"/>
      <c r="TS102" s="450"/>
      <c r="TT102" s="450"/>
      <c r="TU102" s="450"/>
      <c r="TV102" s="450"/>
      <c r="TW102" s="450"/>
      <c r="TX102" s="450"/>
      <c r="TY102" s="450"/>
      <c r="TZ102" s="450"/>
      <c r="UA102" s="450"/>
      <c r="UB102" s="450"/>
      <c r="UC102" s="450"/>
      <c r="UD102" s="450"/>
      <c r="UE102" s="450"/>
      <c r="UF102" s="450"/>
      <c r="UG102" s="450"/>
      <c r="UH102" s="450"/>
      <c r="UI102" s="450"/>
      <c r="UJ102" s="450"/>
      <c r="UK102" s="450"/>
      <c r="UL102" s="450"/>
      <c r="UM102" s="450"/>
      <c r="UN102" s="450"/>
      <c r="UO102" s="450"/>
      <c r="UP102" s="450"/>
      <c r="UQ102" s="450"/>
      <c r="UR102" s="450"/>
      <c r="US102" s="450"/>
      <c r="UT102" s="450"/>
      <c r="UU102" s="450"/>
      <c r="UV102" s="450"/>
      <c r="UW102" s="450"/>
      <c r="UX102" s="450"/>
      <c r="UY102" s="450"/>
      <c r="UZ102" s="450"/>
      <c r="VA102" s="450"/>
      <c r="VB102" s="450"/>
      <c r="VC102" s="450"/>
      <c r="VD102" s="450"/>
      <c r="VE102" s="450"/>
      <c r="VF102" s="450"/>
      <c r="VG102" s="450"/>
      <c r="VH102" s="450"/>
      <c r="VI102" s="450"/>
      <c r="VJ102" s="450"/>
      <c r="VK102" s="450"/>
      <c r="VL102" s="450"/>
      <c r="VM102" s="450"/>
      <c r="VN102" s="450"/>
      <c r="VO102" s="450"/>
      <c r="VP102" s="450"/>
      <c r="VQ102" s="450"/>
      <c r="VR102" s="450"/>
      <c r="VS102" s="450"/>
      <c r="VT102" s="450"/>
      <c r="VU102" s="450"/>
      <c r="VV102" s="450"/>
      <c r="VW102" s="450"/>
      <c r="VX102" s="450"/>
      <c r="VY102" s="450"/>
      <c r="VZ102" s="450"/>
      <c r="WA102" s="450"/>
      <c r="WB102" s="450"/>
      <c r="WC102" s="450"/>
      <c r="WD102" s="450"/>
      <c r="WE102" s="450"/>
      <c r="WF102" s="450"/>
      <c r="WG102" s="450"/>
      <c r="WH102" s="450"/>
      <c r="WI102" s="450"/>
      <c r="WJ102" s="450"/>
      <c r="WK102" s="450"/>
      <c r="WL102" s="450"/>
      <c r="WM102" s="450"/>
      <c r="WN102" s="450"/>
      <c r="WO102" s="450"/>
      <c r="WP102" s="450"/>
      <c r="WQ102" s="450"/>
      <c r="WR102" s="450"/>
      <c r="WS102" s="450"/>
      <c r="WT102" s="450"/>
      <c r="WU102" s="450"/>
      <c r="WV102" s="450"/>
      <c r="WW102" s="450"/>
      <c r="WX102" s="450"/>
      <c r="WY102" s="450"/>
      <c r="WZ102" s="450"/>
      <c r="XA102" s="450"/>
      <c r="XB102" s="450"/>
      <c r="XC102" s="450"/>
      <c r="XD102" s="450"/>
      <c r="XE102" s="450"/>
      <c r="XF102" s="450"/>
      <c r="XG102" s="450"/>
      <c r="XH102" s="450"/>
      <c r="XI102" s="450"/>
      <c r="XJ102" s="450"/>
      <c r="XK102" s="450"/>
      <c r="XL102" s="450"/>
      <c r="XM102" s="450"/>
      <c r="XN102" s="450"/>
      <c r="XO102" s="450"/>
      <c r="XP102" s="450"/>
      <c r="XQ102" s="450"/>
      <c r="XR102" s="450"/>
      <c r="XS102" s="450"/>
      <c r="XT102" s="450"/>
      <c r="XU102" s="450"/>
      <c r="XV102" s="450"/>
      <c r="XW102" s="450"/>
      <c r="XX102" s="450"/>
      <c r="XY102" s="450"/>
      <c r="XZ102" s="450"/>
      <c r="YA102" s="450"/>
      <c r="YB102" s="450"/>
      <c r="YC102" s="450"/>
      <c r="YD102" s="450"/>
      <c r="YE102" s="450"/>
      <c r="YF102" s="450"/>
      <c r="YG102" s="450"/>
      <c r="YH102" s="450"/>
      <c r="YI102" s="450"/>
      <c r="YJ102" s="450"/>
      <c r="YK102" s="450"/>
      <c r="YL102" s="450"/>
      <c r="YM102" s="450"/>
      <c r="YN102" s="450"/>
      <c r="YO102" s="450"/>
      <c r="YP102" s="450"/>
      <c r="YQ102" s="450"/>
      <c r="YR102" s="450"/>
      <c r="YS102" s="450"/>
      <c r="YT102" s="450"/>
      <c r="YU102" s="450"/>
      <c r="YV102" s="450"/>
      <c r="YW102" s="450"/>
      <c r="YX102" s="450"/>
      <c r="YY102" s="450"/>
      <c r="YZ102" s="450"/>
      <c r="ZA102" s="450"/>
      <c r="ZB102" s="450"/>
      <c r="ZC102" s="450"/>
      <c r="ZD102" s="450"/>
      <c r="ZE102" s="450"/>
      <c r="ZF102" s="450"/>
      <c r="ZG102" s="450"/>
      <c r="ZH102" s="450"/>
      <c r="ZI102" s="450"/>
      <c r="ZJ102" s="450"/>
      <c r="ZK102" s="450"/>
      <c r="ZL102" s="450"/>
      <c r="ZM102" s="450"/>
      <c r="ZN102" s="450"/>
      <c r="ZO102" s="450"/>
      <c r="ZP102" s="450"/>
      <c r="ZQ102" s="450"/>
      <c r="ZR102" s="450"/>
      <c r="ZS102" s="450"/>
      <c r="ZT102" s="450"/>
      <c r="ZU102" s="450"/>
      <c r="ZV102" s="450"/>
      <c r="ZW102" s="450"/>
      <c r="ZX102" s="450"/>
      <c r="ZY102" s="450"/>
      <c r="ZZ102" s="450"/>
      <c r="AAA102" s="450"/>
      <c r="AAB102" s="450"/>
      <c r="AAC102" s="450"/>
      <c r="AAD102" s="450"/>
      <c r="AAE102" s="450"/>
      <c r="AAF102" s="450"/>
      <c r="AAG102" s="450"/>
      <c r="AAH102" s="450"/>
      <c r="AAI102" s="450"/>
      <c r="AAJ102" s="450"/>
      <c r="AAK102" s="450"/>
      <c r="AAL102" s="450"/>
      <c r="AAM102" s="450"/>
      <c r="AAN102" s="450"/>
      <c r="AAO102" s="450"/>
      <c r="AAP102" s="450"/>
      <c r="AAQ102" s="450"/>
      <c r="AAR102" s="450"/>
      <c r="AAS102" s="450"/>
      <c r="AAT102" s="450"/>
      <c r="AAU102" s="450"/>
      <c r="AAV102" s="450"/>
      <c r="AAW102" s="450"/>
      <c r="AAX102" s="450"/>
      <c r="AAY102" s="450"/>
      <c r="AAZ102" s="450"/>
      <c r="ABA102" s="450"/>
      <c r="ABB102" s="450"/>
      <c r="ABC102" s="450"/>
      <c r="ABD102" s="450"/>
      <c r="ABE102" s="450"/>
      <c r="ABF102" s="450"/>
      <c r="ABG102" s="450"/>
      <c r="ABH102" s="450"/>
      <c r="ABI102" s="450"/>
      <c r="ABJ102" s="450"/>
      <c r="ABK102" s="450"/>
      <c r="ABL102" s="450"/>
      <c r="ABM102" s="450"/>
      <c r="ABN102" s="450"/>
      <c r="ABO102" s="450"/>
      <c r="ABP102" s="450"/>
      <c r="ABQ102" s="450"/>
      <c r="ABR102" s="450"/>
      <c r="ABS102" s="450"/>
      <c r="ABT102" s="450"/>
      <c r="ABU102" s="450"/>
      <c r="ABV102" s="450"/>
      <c r="ABW102" s="450"/>
      <c r="ABX102" s="450"/>
      <c r="ABY102" s="450"/>
      <c r="ABZ102" s="450"/>
      <c r="ACA102" s="450"/>
      <c r="ACB102" s="450"/>
      <c r="ACC102" s="450"/>
      <c r="ACD102" s="450"/>
      <c r="ACE102" s="450"/>
      <c r="ACF102" s="450"/>
      <c r="ACG102" s="450"/>
      <c r="ACH102" s="450"/>
      <c r="ACI102" s="450"/>
      <c r="ACJ102" s="450"/>
      <c r="ACK102" s="450"/>
      <c r="ACL102" s="450"/>
      <c r="ACM102" s="450"/>
      <c r="ACN102" s="450"/>
      <c r="ACO102" s="450"/>
      <c r="ACP102" s="450"/>
      <c r="ACQ102" s="450"/>
      <c r="ACR102" s="450"/>
      <c r="ACS102" s="450"/>
      <c r="ACT102" s="450"/>
      <c r="ACU102" s="450"/>
      <c r="ACV102" s="450"/>
      <c r="ACW102" s="450"/>
      <c r="ACX102" s="450"/>
      <c r="ACY102" s="450"/>
      <c r="ACZ102" s="450"/>
      <c r="ADA102" s="450"/>
      <c r="ADB102" s="450"/>
      <c r="ADC102" s="450"/>
      <c r="ADD102" s="450"/>
      <c r="ADE102" s="450"/>
      <c r="ADF102" s="450"/>
      <c r="ADG102" s="450"/>
      <c r="ADH102" s="450"/>
      <c r="ADI102" s="450"/>
      <c r="ADJ102" s="450"/>
      <c r="ADK102" s="450"/>
      <c r="ADL102" s="450"/>
      <c r="ADM102" s="450"/>
      <c r="ADN102" s="450"/>
      <c r="ADO102" s="450"/>
      <c r="ADP102" s="450"/>
      <c r="ADQ102" s="450"/>
      <c r="ADR102" s="450"/>
      <c r="ADS102" s="450"/>
      <c r="ADT102" s="450"/>
      <c r="ADU102" s="450"/>
      <c r="ADV102" s="450"/>
      <c r="ADW102" s="450"/>
      <c r="ADX102" s="450"/>
      <c r="ADY102" s="450"/>
      <c r="ADZ102" s="450"/>
      <c r="AEA102" s="450"/>
      <c r="AEB102" s="450"/>
      <c r="AEC102" s="450"/>
      <c r="AED102" s="450"/>
      <c r="AEE102" s="450"/>
      <c r="AEF102" s="450"/>
      <c r="AEG102" s="450"/>
      <c r="AEH102" s="450"/>
      <c r="AEI102" s="450"/>
      <c r="AEJ102" s="450"/>
      <c r="AEK102" s="450"/>
      <c r="AEL102" s="450"/>
      <c r="AEM102" s="450"/>
      <c r="AEN102" s="450"/>
      <c r="AEO102" s="450"/>
      <c r="AEP102" s="450"/>
      <c r="AEQ102" s="450"/>
      <c r="AER102" s="450"/>
      <c r="AES102" s="450"/>
      <c r="AET102" s="450"/>
      <c r="AEU102" s="450"/>
      <c r="AEV102" s="450"/>
      <c r="AEW102" s="450"/>
      <c r="AEX102" s="450"/>
      <c r="AEY102" s="450"/>
      <c r="AEZ102" s="450"/>
      <c r="AFA102" s="450"/>
      <c r="AFB102" s="450"/>
      <c r="AFC102" s="450"/>
      <c r="AFD102" s="450"/>
      <c r="AFE102" s="450"/>
      <c r="AFF102" s="450"/>
      <c r="AFG102" s="450"/>
      <c r="AFH102" s="450"/>
      <c r="AFI102" s="450"/>
      <c r="AFJ102" s="450"/>
      <c r="AFK102" s="450"/>
      <c r="AFL102" s="450"/>
      <c r="AFM102" s="450"/>
      <c r="AFN102" s="450"/>
      <c r="AFO102" s="450"/>
      <c r="AFP102" s="450"/>
      <c r="AFQ102" s="450"/>
      <c r="AFR102" s="450"/>
      <c r="AFS102" s="450"/>
      <c r="AFT102" s="450"/>
      <c r="AFU102" s="450"/>
      <c r="AFV102" s="450"/>
      <c r="AFW102" s="450"/>
      <c r="AFX102" s="450"/>
      <c r="AFY102" s="450"/>
      <c r="AFZ102" s="450"/>
      <c r="AGA102" s="450"/>
      <c r="AGB102" s="450"/>
      <c r="AGC102" s="450"/>
      <c r="AGD102" s="450"/>
      <c r="AGE102" s="450"/>
      <c r="AGF102" s="450"/>
      <c r="AGG102" s="450"/>
      <c r="AGH102" s="450"/>
      <c r="AGI102" s="450"/>
      <c r="AGJ102" s="450"/>
      <c r="AGK102" s="450"/>
      <c r="AGL102" s="450"/>
      <c r="AGM102" s="450"/>
      <c r="AGN102" s="450"/>
      <c r="AGO102" s="450"/>
      <c r="AGP102" s="450"/>
      <c r="AGQ102" s="450"/>
      <c r="AGR102" s="450"/>
      <c r="AGS102" s="450"/>
      <c r="AGT102" s="450"/>
      <c r="AGU102" s="450"/>
      <c r="AGV102" s="450"/>
      <c r="AGW102" s="450"/>
      <c r="AGX102" s="450"/>
      <c r="AGY102" s="450"/>
      <c r="AGZ102" s="450"/>
      <c r="AHA102" s="450"/>
      <c r="AHB102" s="450"/>
      <c r="AHC102" s="450"/>
      <c r="AHD102" s="450"/>
      <c r="AHE102" s="450"/>
      <c r="AHF102" s="450"/>
      <c r="AHG102" s="450"/>
      <c r="AHH102" s="450"/>
      <c r="AHI102" s="450"/>
      <c r="AHJ102" s="450"/>
      <c r="AHK102" s="450"/>
      <c r="AHL102" s="450"/>
      <c r="AHM102" s="450"/>
      <c r="AHN102" s="450"/>
      <c r="AHO102" s="450"/>
      <c r="AHP102" s="450"/>
      <c r="AHQ102" s="450"/>
      <c r="AHR102" s="450"/>
      <c r="AHS102" s="450"/>
      <c r="AHT102" s="450"/>
      <c r="AHU102" s="450"/>
      <c r="AHV102" s="450"/>
      <c r="AHW102" s="450"/>
      <c r="AHX102" s="450"/>
      <c r="AHY102" s="450"/>
      <c r="AHZ102" s="450"/>
      <c r="AIA102" s="450"/>
      <c r="AIB102" s="450"/>
      <c r="AIC102" s="450"/>
      <c r="AID102" s="450"/>
      <c r="AIE102" s="450"/>
      <c r="AIF102" s="450"/>
      <c r="AIG102" s="450"/>
      <c r="AIH102" s="450"/>
      <c r="AII102" s="450"/>
      <c r="AIJ102" s="450"/>
      <c r="AIK102" s="450"/>
      <c r="AIL102" s="450"/>
      <c r="AIM102" s="450"/>
      <c r="AIN102" s="450"/>
      <c r="AIO102" s="450"/>
      <c r="AIP102" s="450"/>
      <c r="AIQ102" s="450"/>
      <c r="AIR102" s="450"/>
      <c r="AIS102" s="450"/>
      <c r="AIT102" s="450"/>
      <c r="AIU102" s="450"/>
      <c r="AIV102" s="450"/>
      <c r="AIW102" s="450"/>
      <c r="AIX102" s="450"/>
      <c r="AIY102" s="450"/>
      <c r="AIZ102" s="450"/>
      <c r="AJA102" s="450"/>
      <c r="AJB102" s="450"/>
      <c r="AJC102" s="450"/>
      <c r="AJD102" s="450"/>
      <c r="AJE102" s="450"/>
      <c r="AJF102" s="450"/>
      <c r="AJG102" s="450"/>
      <c r="AJH102" s="450"/>
      <c r="AJI102" s="450"/>
      <c r="AJJ102" s="450"/>
      <c r="AJK102" s="450"/>
      <c r="AJL102" s="450"/>
      <c r="AJM102" s="450"/>
      <c r="AJN102" s="450"/>
      <c r="AJO102" s="450"/>
      <c r="AJP102" s="450"/>
      <c r="AJQ102" s="450"/>
      <c r="AJR102" s="450"/>
      <c r="AJS102" s="450"/>
      <c r="AJT102" s="450"/>
      <c r="AJU102" s="450"/>
      <c r="AJV102" s="450"/>
      <c r="AJW102" s="450"/>
      <c r="AJX102" s="450"/>
      <c r="AJY102" s="450"/>
      <c r="AJZ102" s="450"/>
      <c r="AKA102" s="450"/>
      <c r="AKB102" s="450"/>
      <c r="AKC102" s="450"/>
      <c r="AKD102" s="450"/>
      <c r="AKE102" s="450"/>
      <c r="AKF102" s="450"/>
      <c r="AKG102" s="450"/>
      <c r="AKH102" s="450"/>
      <c r="AKI102" s="450"/>
      <c r="AKJ102" s="450"/>
      <c r="AKK102" s="450"/>
      <c r="AKL102" s="450"/>
      <c r="AKM102" s="450"/>
      <c r="AKN102" s="450"/>
      <c r="AKO102" s="450"/>
      <c r="AKP102" s="450"/>
      <c r="AKQ102" s="450"/>
      <c r="AKR102" s="450"/>
      <c r="AKS102" s="450"/>
      <c r="AKT102" s="450"/>
      <c r="AKU102" s="450"/>
      <c r="AKV102" s="450"/>
      <c r="AKW102" s="450"/>
      <c r="AKX102" s="450"/>
      <c r="AKY102" s="450"/>
      <c r="AKZ102" s="450"/>
      <c r="ALA102" s="450"/>
      <c r="ALB102" s="450"/>
      <c r="ALC102" s="450"/>
      <c r="ALD102" s="450"/>
      <c r="ALE102" s="450"/>
      <c r="ALF102" s="450"/>
      <c r="ALG102" s="450"/>
      <c r="ALH102" s="450"/>
      <c r="ALI102" s="450"/>
      <c r="ALJ102" s="450"/>
      <c r="ALK102" s="450"/>
      <c r="ALL102" s="450"/>
      <c r="ALM102" s="450"/>
      <c r="ALN102" s="450"/>
      <c r="ALO102" s="450"/>
      <c r="ALP102" s="450"/>
      <c r="ALQ102" s="450"/>
      <c r="ALR102" s="450"/>
      <c r="ALS102" s="450"/>
      <c r="ALT102" s="450"/>
      <c r="ALU102" s="450"/>
      <c r="ALV102" s="450"/>
      <c r="ALW102" s="450"/>
      <c r="ALX102" s="450"/>
      <c r="ALY102" s="450"/>
      <c r="ALZ102" s="450"/>
      <c r="AMA102" s="450"/>
      <c r="AMB102" s="450"/>
      <c r="AMC102" s="450"/>
      <c r="AMD102" s="450"/>
      <c r="AME102" s="450"/>
      <c r="AMF102" s="450"/>
      <c r="AMG102" s="450"/>
      <c r="AMH102" s="450"/>
      <c r="AMI102" s="450"/>
      <c r="AMJ102" s="450"/>
      <c r="AMK102" s="450"/>
      <c r="AML102" s="450"/>
      <c r="AMM102" s="450"/>
      <c r="AMN102" s="450"/>
      <c r="AMO102" s="450"/>
      <c r="AMP102" s="450"/>
      <c r="AMQ102" s="450"/>
      <c r="AMR102" s="450"/>
      <c r="AMS102" s="450"/>
      <c r="AMT102" s="450"/>
      <c r="AMU102" s="450"/>
      <c r="AMV102" s="450"/>
      <c r="AMW102" s="450"/>
      <c r="AMX102" s="450"/>
      <c r="AMY102" s="450"/>
      <c r="AMZ102" s="450"/>
      <c r="ANA102" s="450"/>
      <c r="ANB102" s="450"/>
      <c r="ANC102" s="450"/>
      <c r="AND102" s="450"/>
      <c r="ANE102" s="450"/>
      <c r="ANF102" s="450"/>
      <c r="ANG102" s="450"/>
      <c r="ANH102" s="450"/>
      <c r="ANI102" s="450"/>
      <c r="ANJ102" s="450"/>
      <c r="ANK102" s="450"/>
      <c r="ANL102" s="450"/>
      <c r="ANM102" s="450"/>
      <c r="ANN102" s="450"/>
      <c r="ANO102" s="450"/>
      <c r="ANP102" s="450"/>
      <c r="ANQ102" s="450"/>
      <c r="ANR102" s="450"/>
      <c r="ANS102" s="450"/>
      <c r="ANT102" s="450"/>
      <c r="ANU102" s="450"/>
      <c r="ANV102" s="450"/>
      <c r="ANW102" s="450"/>
      <c r="ANX102" s="450"/>
      <c r="ANY102" s="450"/>
      <c r="ANZ102" s="450"/>
      <c r="AOA102" s="450"/>
      <c r="AOB102" s="450"/>
      <c r="AOC102" s="450"/>
      <c r="AOD102" s="450"/>
      <c r="AOE102" s="450"/>
      <c r="AOF102" s="450"/>
      <c r="AOG102" s="450"/>
      <c r="AOH102" s="450"/>
      <c r="AOI102" s="450"/>
      <c r="AOJ102" s="450"/>
      <c r="AOK102" s="450"/>
      <c r="AOL102" s="450"/>
      <c r="AOM102" s="450"/>
      <c r="AON102" s="450"/>
      <c r="AOO102" s="450"/>
      <c r="AOP102" s="450"/>
      <c r="AOQ102" s="450"/>
      <c r="AOR102" s="450"/>
      <c r="AOS102" s="450"/>
      <c r="AOT102" s="450"/>
      <c r="AOU102" s="450"/>
      <c r="AOV102" s="450"/>
      <c r="AOW102" s="450"/>
      <c r="AOX102" s="450"/>
      <c r="AOY102" s="450"/>
      <c r="AOZ102" s="450"/>
      <c r="APA102" s="450"/>
      <c r="APB102" s="450"/>
      <c r="APC102" s="450"/>
      <c r="APD102" s="450"/>
      <c r="APE102" s="450"/>
      <c r="APF102" s="450"/>
      <c r="APG102" s="450"/>
      <c r="APH102" s="450"/>
      <c r="API102" s="450"/>
      <c r="APJ102" s="450"/>
      <c r="APK102" s="450"/>
      <c r="APL102" s="450"/>
      <c r="APM102" s="450"/>
      <c r="APN102" s="450"/>
      <c r="APO102" s="450"/>
      <c r="APP102" s="450"/>
      <c r="APQ102" s="450"/>
      <c r="APR102" s="450"/>
      <c r="APS102" s="450"/>
      <c r="APT102" s="450"/>
      <c r="APU102" s="450"/>
      <c r="APV102" s="450"/>
      <c r="APW102" s="450"/>
      <c r="APX102" s="450"/>
      <c r="APY102" s="450"/>
      <c r="APZ102" s="450"/>
      <c r="AQA102" s="450"/>
      <c r="AQB102" s="450"/>
      <c r="AQC102" s="450"/>
      <c r="AQD102" s="450"/>
      <c r="AQE102" s="450"/>
      <c r="AQF102" s="450"/>
      <c r="AQG102" s="450"/>
      <c r="AQH102" s="450"/>
      <c r="AQI102" s="450"/>
      <c r="AQJ102" s="450"/>
      <c r="AQK102" s="450"/>
      <c r="AQL102" s="450"/>
      <c r="AQM102" s="450"/>
      <c r="AQN102" s="450"/>
      <c r="AQO102" s="450"/>
      <c r="AQP102" s="450"/>
      <c r="AQQ102" s="450"/>
      <c r="AQR102" s="450"/>
      <c r="AQS102" s="450"/>
      <c r="AQT102" s="450"/>
      <c r="AQU102" s="450"/>
      <c r="AQV102" s="450"/>
      <c r="AQW102" s="450"/>
      <c r="AQX102" s="450"/>
      <c r="AQY102" s="450"/>
      <c r="AQZ102" s="450"/>
      <c r="ARA102" s="450"/>
      <c r="ARB102" s="450"/>
      <c r="ARC102" s="450"/>
      <c r="ARD102" s="450"/>
      <c r="ARE102" s="450"/>
      <c r="ARF102" s="450"/>
      <c r="ARG102" s="450"/>
      <c r="ARH102" s="450"/>
      <c r="ARI102" s="450"/>
      <c r="ARJ102" s="450"/>
      <c r="ARK102" s="450"/>
      <c r="ARL102" s="450"/>
      <c r="ARM102" s="450"/>
      <c r="ARN102" s="450"/>
      <c r="ARO102" s="450"/>
      <c r="ARP102" s="450"/>
      <c r="ARQ102" s="450"/>
      <c r="ARR102" s="450"/>
      <c r="ARS102" s="450"/>
      <c r="ART102" s="450"/>
      <c r="ARU102" s="450"/>
      <c r="ARV102" s="450"/>
      <c r="ARW102" s="450"/>
      <c r="ARX102" s="450"/>
      <c r="ARY102" s="450"/>
      <c r="ARZ102" s="450"/>
      <c r="ASA102" s="450"/>
      <c r="ASB102" s="450"/>
      <c r="ASC102" s="450"/>
      <c r="ASD102" s="450"/>
      <c r="ASE102" s="450"/>
      <c r="ASF102" s="450"/>
      <c r="ASG102" s="450"/>
      <c r="ASH102" s="450"/>
      <c r="ASI102" s="450"/>
      <c r="ASJ102" s="450"/>
      <c r="ASK102" s="450"/>
      <c r="ASL102" s="450"/>
      <c r="ASM102" s="450"/>
      <c r="ASN102" s="450"/>
      <c r="ASO102" s="450"/>
      <c r="ASP102" s="450"/>
      <c r="ASQ102" s="450"/>
      <c r="ASR102" s="450"/>
      <c r="ASS102" s="450"/>
      <c r="AST102" s="450"/>
      <c r="ASU102" s="450"/>
      <c r="ASV102" s="450"/>
      <c r="ASW102" s="450"/>
      <c r="ASX102" s="450"/>
      <c r="ASY102" s="450"/>
      <c r="ASZ102" s="450"/>
      <c r="ATA102" s="450"/>
      <c r="ATB102" s="450"/>
      <c r="ATC102" s="450"/>
      <c r="ATD102" s="450"/>
      <c r="ATE102" s="450"/>
      <c r="ATF102" s="450"/>
      <c r="ATG102" s="450"/>
      <c r="ATH102" s="450"/>
      <c r="ATI102" s="450"/>
      <c r="ATJ102" s="450"/>
      <c r="ATK102" s="450"/>
      <c r="ATL102" s="450"/>
      <c r="ATM102" s="450"/>
      <c r="ATN102" s="450"/>
      <c r="ATO102" s="450"/>
      <c r="ATP102" s="450"/>
      <c r="ATQ102" s="450"/>
      <c r="ATR102" s="450"/>
      <c r="ATS102" s="450"/>
      <c r="ATT102" s="450"/>
      <c r="ATU102" s="450"/>
      <c r="ATV102" s="450"/>
      <c r="ATW102" s="450"/>
      <c r="ATX102" s="450"/>
      <c r="ATY102" s="450"/>
      <c r="ATZ102" s="450"/>
      <c r="AUA102" s="450"/>
      <c r="AUB102" s="450"/>
      <c r="AUC102" s="450"/>
      <c r="AUD102" s="450"/>
      <c r="AUE102" s="450"/>
      <c r="AUF102" s="450"/>
      <c r="AUG102" s="450"/>
      <c r="AUH102" s="450"/>
      <c r="AUI102" s="450"/>
      <c r="AUJ102" s="450"/>
      <c r="AUK102" s="450"/>
      <c r="AUL102" s="450"/>
      <c r="AUM102" s="450"/>
      <c r="AUN102" s="450"/>
      <c r="AUO102" s="450"/>
      <c r="AUP102" s="450"/>
      <c r="AUQ102" s="450"/>
      <c r="AUR102" s="450"/>
      <c r="AUS102" s="450"/>
      <c r="AUT102" s="450"/>
      <c r="AUU102" s="450"/>
      <c r="AUV102" s="450"/>
      <c r="AUW102" s="450"/>
      <c r="AUX102" s="450"/>
      <c r="AUY102" s="450"/>
      <c r="AUZ102" s="450"/>
      <c r="AVA102" s="450"/>
      <c r="AVB102" s="450"/>
      <c r="AVC102" s="450"/>
      <c r="AVD102" s="450"/>
      <c r="AVE102" s="450"/>
      <c r="AVF102" s="450"/>
      <c r="AVG102" s="450"/>
      <c r="AVH102" s="450"/>
      <c r="AVI102" s="450"/>
      <c r="AVJ102" s="450"/>
      <c r="AVK102" s="450"/>
      <c r="AVL102" s="450"/>
      <c r="AVM102" s="450"/>
      <c r="AVN102" s="450"/>
      <c r="AVO102" s="450"/>
      <c r="AVP102" s="450"/>
      <c r="AVQ102" s="450"/>
      <c r="AVR102" s="450"/>
      <c r="AVS102" s="450"/>
      <c r="AVT102" s="450"/>
      <c r="AVU102" s="450"/>
      <c r="AVV102" s="450"/>
      <c r="AVW102" s="450"/>
      <c r="AVX102" s="450"/>
      <c r="AVY102" s="450"/>
      <c r="AVZ102" s="450"/>
      <c r="AWA102" s="450"/>
      <c r="AWB102" s="450"/>
      <c r="AWC102" s="450"/>
      <c r="AWD102" s="450"/>
      <c r="AWE102" s="450"/>
      <c r="AWF102" s="450"/>
      <c r="AWG102" s="450"/>
      <c r="AWH102" s="450"/>
      <c r="AWI102" s="450"/>
      <c r="AWJ102" s="450"/>
      <c r="AWK102" s="450"/>
      <c r="AWL102" s="450"/>
      <c r="AWM102" s="450"/>
      <c r="AWN102" s="450"/>
      <c r="AWO102" s="450"/>
      <c r="AWP102" s="450"/>
      <c r="AWQ102" s="450"/>
      <c r="AWR102" s="450"/>
      <c r="AWS102" s="450"/>
      <c r="AWT102" s="450"/>
      <c r="AWU102" s="450"/>
      <c r="AWV102" s="450"/>
      <c r="AWW102" s="450"/>
      <c r="AWX102" s="450"/>
      <c r="AWY102" s="450"/>
      <c r="AWZ102" s="450"/>
      <c r="AXA102" s="450"/>
      <c r="AXB102" s="450"/>
      <c r="AXC102" s="450"/>
      <c r="AXD102" s="450"/>
      <c r="AXE102" s="450"/>
      <c r="AXF102" s="450"/>
      <c r="AXG102" s="450"/>
      <c r="AXH102" s="450"/>
      <c r="AXI102" s="450"/>
      <c r="AXJ102" s="450"/>
      <c r="AXK102" s="450"/>
      <c r="AXL102" s="450"/>
      <c r="AXM102" s="450"/>
      <c r="AXN102" s="450"/>
      <c r="AXO102" s="450"/>
      <c r="AXP102" s="450"/>
      <c r="AXQ102" s="450"/>
      <c r="AXR102" s="450"/>
      <c r="AXS102" s="450"/>
      <c r="AXT102" s="450"/>
      <c r="AXU102" s="450"/>
      <c r="AXV102" s="450"/>
      <c r="AXW102" s="450"/>
      <c r="AXX102" s="450"/>
      <c r="AXY102" s="450"/>
      <c r="AXZ102" s="450"/>
      <c r="AYA102" s="450"/>
      <c r="AYB102" s="450"/>
      <c r="AYC102" s="450"/>
      <c r="AYD102" s="450"/>
      <c r="AYE102" s="450"/>
      <c r="AYF102" s="450"/>
      <c r="AYG102" s="450"/>
      <c r="AYH102" s="450"/>
      <c r="AYI102" s="450"/>
      <c r="AYJ102" s="450"/>
      <c r="AYK102" s="450"/>
      <c r="AYL102" s="450"/>
      <c r="AYM102" s="450"/>
      <c r="AYN102" s="450"/>
      <c r="AYO102" s="450"/>
      <c r="AYP102" s="450"/>
      <c r="AYQ102" s="450"/>
      <c r="AYR102" s="450"/>
      <c r="AYS102" s="450"/>
      <c r="AYT102" s="450"/>
      <c r="AYU102" s="450"/>
      <c r="AYV102" s="450"/>
      <c r="AYW102" s="450"/>
      <c r="AYX102" s="450"/>
      <c r="AYY102" s="450"/>
      <c r="AYZ102" s="450"/>
      <c r="AZA102" s="450"/>
      <c r="AZB102" s="450"/>
      <c r="AZC102" s="450"/>
      <c r="AZD102" s="450"/>
      <c r="AZE102" s="450"/>
      <c r="AZF102" s="450"/>
      <c r="AZG102" s="450"/>
      <c r="AZH102" s="450"/>
      <c r="AZI102" s="450"/>
      <c r="AZJ102" s="450"/>
      <c r="AZK102" s="450"/>
      <c r="AZL102" s="450"/>
      <c r="AZM102" s="450"/>
      <c r="AZN102" s="450"/>
      <c r="AZO102" s="450"/>
      <c r="AZP102" s="450"/>
      <c r="AZQ102" s="450"/>
      <c r="AZR102" s="450"/>
      <c r="AZS102" s="450"/>
      <c r="AZT102" s="450"/>
      <c r="AZU102" s="450"/>
      <c r="AZV102" s="450"/>
      <c r="AZW102" s="450"/>
      <c r="AZX102" s="450"/>
      <c r="AZY102" s="450"/>
      <c r="AZZ102" s="450"/>
      <c r="BAA102" s="450"/>
      <c r="BAB102" s="450"/>
      <c r="BAC102" s="450"/>
      <c r="BAD102" s="450"/>
      <c r="BAE102" s="450"/>
      <c r="BAF102" s="450"/>
      <c r="BAG102" s="450"/>
      <c r="BAH102" s="450"/>
      <c r="BAI102" s="450"/>
      <c r="BAJ102" s="450"/>
      <c r="BAK102" s="450"/>
      <c r="BAL102" s="450"/>
      <c r="BAM102" s="450"/>
      <c r="BAN102" s="450"/>
      <c r="BAO102" s="450"/>
      <c r="BAP102" s="450"/>
      <c r="BAQ102" s="450"/>
      <c r="BAR102" s="450"/>
      <c r="BAS102" s="450"/>
      <c r="BAT102" s="450"/>
      <c r="BAU102" s="450"/>
      <c r="BAV102" s="450"/>
      <c r="BAW102" s="450"/>
      <c r="BAX102" s="450"/>
      <c r="BAY102" s="450"/>
      <c r="BAZ102" s="450"/>
      <c r="BBA102" s="450"/>
      <c r="BBB102" s="450"/>
      <c r="BBC102" s="450"/>
      <c r="BBD102" s="450"/>
      <c r="BBE102" s="450"/>
      <c r="BBF102" s="450"/>
      <c r="BBG102" s="450"/>
      <c r="BBH102" s="450"/>
      <c r="BBI102" s="450"/>
      <c r="BBJ102" s="450"/>
      <c r="BBK102" s="450"/>
      <c r="BBL102" s="450"/>
      <c r="BBM102" s="450"/>
      <c r="BBN102" s="450"/>
      <c r="BBO102" s="450"/>
      <c r="BBP102" s="450"/>
      <c r="BBQ102" s="450"/>
      <c r="BBR102" s="450"/>
      <c r="BBS102" s="450"/>
      <c r="BBT102" s="450"/>
      <c r="BBU102" s="450"/>
      <c r="BBV102" s="450"/>
      <c r="BBW102" s="450"/>
      <c r="BBX102" s="450"/>
      <c r="BBY102" s="450"/>
      <c r="BBZ102" s="450"/>
      <c r="BCA102" s="450"/>
      <c r="BCB102" s="450"/>
      <c r="BCC102" s="450"/>
      <c r="BCD102" s="450"/>
      <c r="BCE102" s="450"/>
      <c r="BCF102" s="450"/>
      <c r="BCG102" s="450"/>
      <c r="BCH102" s="450"/>
      <c r="BCI102" s="450"/>
      <c r="BCJ102" s="450"/>
      <c r="BCK102" s="450"/>
      <c r="BCL102" s="450"/>
      <c r="BCM102" s="450"/>
      <c r="BCN102" s="450"/>
      <c r="BCO102" s="450"/>
      <c r="BCP102" s="450"/>
      <c r="BCQ102" s="450"/>
      <c r="BCR102" s="450"/>
      <c r="BCS102" s="450"/>
      <c r="BCT102" s="450"/>
      <c r="BCU102" s="450"/>
      <c r="BCV102" s="450"/>
      <c r="BCW102" s="450"/>
      <c r="BCX102" s="450"/>
      <c r="BCY102" s="450"/>
      <c r="BCZ102" s="450"/>
      <c r="BDA102" s="450"/>
      <c r="BDB102" s="450"/>
      <c r="BDC102" s="450"/>
      <c r="BDD102" s="450"/>
      <c r="BDE102" s="450"/>
      <c r="BDF102" s="450"/>
      <c r="BDG102" s="450"/>
      <c r="BDH102" s="450"/>
      <c r="BDI102" s="450"/>
      <c r="BDJ102" s="450"/>
      <c r="BDK102" s="450"/>
      <c r="BDL102" s="450"/>
      <c r="BDM102" s="450"/>
      <c r="BDN102" s="450"/>
      <c r="BDO102" s="450"/>
      <c r="BDP102" s="450"/>
      <c r="BDQ102" s="450"/>
      <c r="BDR102" s="450"/>
      <c r="BDS102" s="450"/>
      <c r="BDT102" s="450"/>
      <c r="BDU102" s="450"/>
      <c r="BDV102" s="450"/>
      <c r="BDW102" s="450"/>
      <c r="BDX102" s="450"/>
      <c r="BDY102" s="450"/>
      <c r="BDZ102" s="450"/>
      <c r="BEA102" s="450"/>
      <c r="BEB102" s="450"/>
      <c r="BEC102" s="450"/>
      <c r="BED102" s="450"/>
      <c r="BEE102" s="450"/>
      <c r="BEF102" s="450"/>
      <c r="BEG102" s="450"/>
      <c r="BEH102" s="450"/>
      <c r="BEI102" s="450"/>
      <c r="BEJ102" s="450"/>
      <c r="BEK102" s="450"/>
      <c r="BEL102" s="450"/>
      <c r="BEM102" s="450"/>
      <c r="BEN102" s="450"/>
      <c r="BEO102" s="450"/>
      <c r="BEP102" s="450"/>
      <c r="BEQ102" s="450"/>
      <c r="BER102" s="450"/>
      <c r="BES102" s="450"/>
      <c r="BET102" s="450"/>
      <c r="BEU102" s="450"/>
      <c r="BEV102" s="450"/>
      <c r="BEW102" s="450"/>
      <c r="BEX102" s="450"/>
      <c r="BEY102" s="450"/>
      <c r="BEZ102" s="450"/>
      <c r="BFA102" s="450"/>
      <c r="BFB102" s="450"/>
      <c r="BFC102" s="450"/>
      <c r="BFD102" s="450"/>
      <c r="BFE102" s="450"/>
      <c r="BFF102" s="450"/>
      <c r="BFG102" s="450"/>
      <c r="BFH102" s="450"/>
      <c r="BFI102" s="450"/>
      <c r="BFJ102" s="450"/>
      <c r="BFK102" s="450"/>
      <c r="BFL102" s="450"/>
      <c r="BFM102" s="450"/>
      <c r="BFN102" s="450"/>
      <c r="BFO102" s="450"/>
      <c r="BFP102" s="450"/>
      <c r="BFQ102" s="450"/>
      <c r="BFR102" s="450"/>
      <c r="BFS102" s="450"/>
      <c r="BFT102" s="450"/>
      <c r="BFU102" s="450"/>
      <c r="BFV102" s="450"/>
      <c r="BFW102" s="450"/>
      <c r="BFX102" s="450"/>
      <c r="BFY102" s="450"/>
      <c r="BFZ102" s="450"/>
      <c r="BGA102" s="450"/>
      <c r="BGB102" s="450"/>
      <c r="BGC102" s="450"/>
      <c r="BGD102" s="450"/>
      <c r="BGE102" s="450"/>
      <c r="BGF102" s="450"/>
      <c r="BGG102" s="450"/>
      <c r="BGH102" s="450"/>
      <c r="BGI102" s="450"/>
      <c r="BGJ102" s="450"/>
      <c r="BGK102" s="450"/>
      <c r="BGL102" s="450"/>
      <c r="BGM102" s="450"/>
      <c r="BGN102" s="450"/>
      <c r="BGO102" s="450"/>
      <c r="BGP102" s="450"/>
      <c r="BGQ102" s="450"/>
      <c r="BGR102" s="450"/>
      <c r="BGS102" s="450"/>
      <c r="BGT102" s="450"/>
      <c r="BGU102" s="450"/>
      <c r="BGV102" s="450"/>
      <c r="BGW102" s="450"/>
      <c r="BGX102" s="450"/>
      <c r="BGY102" s="450"/>
      <c r="BGZ102" s="450"/>
      <c r="BHA102" s="450"/>
      <c r="BHB102" s="450"/>
      <c r="BHC102" s="450"/>
      <c r="BHD102" s="450"/>
      <c r="BHE102" s="450"/>
      <c r="BHF102" s="450"/>
      <c r="BHG102" s="450"/>
      <c r="BHH102" s="450"/>
      <c r="BHI102" s="450"/>
      <c r="BHJ102" s="450"/>
      <c r="BHK102" s="450"/>
      <c r="BHL102" s="450"/>
      <c r="BHM102" s="450"/>
      <c r="BHN102" s="450"/>
      <c r="BHO102" s="450"/>
      <c r="BHP102" s="450"/>
      <c r="BHQ102" s="450"/>
      <c r="BHR102" s="450"/>
      <c r="BHS102" s="450"/>
      <c r="BHT102" s="450"/>
      <c r="BHU102" s="450"/>
      <c r="BHV102" s="450"/>
      <c r="BHW102" s="450"/>
      <c r="BHX102" s="450"/>
      <c r="BHY102" s="450"/>
      <c r="BHZ102" s="450"/>
      <c r="BIA102" s="450"/>
      <c r="BIB102" s="450"/>
      <c r="BIC102" s="450"/>
      <c r="BID102" s="450"/>
      <c r="BIE102" s="450"/>
      <c r="BIF102" s="450"/>
      <c r="BIG102" s="450"/>
      <c r="BIH102" s="450"/>
      <c r="BII102" s="450"/>
      <c r="BIJ102" s="450"/>
      <c r="BIK102" s="450"/>
      <c r="BIL102" s="450"/>
      <c r="BIM102" s="450"/>
      <c r="BIN102" s="450"/>
      <c r="BIO102" s="450"/>
      <c r="BIP102" s="450"/>
      <c r="BIQ102" s="450"/>
      <c r="BIR102" s="450"/>
      <c r="BIS102" s="450"/>
      <c r="BIT102" s="450"/>
      <c r="BIU102" s="450"/>
      <c r="BIV102" s="450"/>
      <c r="BIW102" s="450"/>
      <c r="BIX102" s="450"/>
      <c r="BIY102" s="450"/>
      <c r="BIZ102" s="450"/>
      <c r="BJA102" s="450"/>
      <c r="BJB102" s="450"/>
      <c r="BJC102" s="450"/>
      <c r="BJD102" s="450"/>
      <c r="BJE102" s="450"/>
      <c r="BJF102" s="450"/>
      <c r="BJG102" s="450"/>
      <c r="BJH102" s="450"/>
      <c r="BJI102" s="450"/>
      <c r="BJJ102" s="450"/>
      <c r="BJK102" s="450"/>
      <c r="BJL102" s="450"/>
      <c r="BJM102" s="450"/>
      <c r="BJN102" s="450"/>
      <c r="BJO102" s="450"/>
      <c r="BJP102" s="450"/>
      <c r="BJQ102" s="450"/>
      <c r="BJR102" s="450"/>
      <c r="BJS102" s="450"/>
      <c r="BJT102" s="450"/>
      <c r="BJU102" s="450"/>
      <c r="BJV102" s="450"/>
      <c r="BJW102" s="450"/>
      <c r="BJX102" s="450"/>
      <c r="BJY102" s="450"/>
      <c r="BJZ102" s="450"/>
      <c r="BKA102" s="450"/>
      <c r="BKB102" s="450"/>
      <c r="BKC102" s="450"/>
      <c r="BKD102" s="450"/>
      <c r="BKE102" s="450"/>
      <c r="BKF102" s="450"/>
      <c r="BKG102" s="450"/>
      <c r="BKH102" s="450"/>
      <c r="BKI102" s="450"/>
      <c r="BKJ102" s="450"/>
      <c r="BKK102" s="450"/>
      <c r="BKL102" s="450"/>
      <c r="BKM102" s="450"/>
      <c r="BKN102" s="450"/>
      <c r="BKO102" s="450"/>
      <c r="BKP102" s="450"/>
      <c r="BKQ102" s="450"/>
      <c r="BKR102" s="450"/>
      <c r="BKS102" s="450"/>
      <c r="BKT102" s="450"/>
      <c r="BKU102" s="450"/>
      <c r="BKV102" s="450"/>
      <c r="BKW102" s="450"/>
      <c r="BKX102" s="450"/>
      <c r="BKY102" s="450"/>
      <c r="BKZ102" s="450"/>
      <c r="BLA102" s="450"/>
      <c r="BLB102" s="450"/>
      <c r="BLC102" s="450"/>
      <c r="BLD102" s="450"/>
      <c r="BLE102" s="450"/>
      <c r="BLF102" s="450"/>
      <c r="BLG102" s="450"/>
      <c r="BLH102" s="450"/>
      <c r="BLI102" s="450"/>
      <c r="BLJ102" s="450"/>
      <c r="BLK102" s="450"/>
      <c r="BLL102" s="450"/>
      <c r="BLM102" s="450"/>
      <c r="BLN102" s="450"/>
      <c r="BLO102" s="450"/>
      <c r="BLP102" s="450"/>
      <c r="BLQ102" s="450"/>
      <c r="BLR102" s="450"/>
      <c r="BLS102" s="450"/>
      <c r="BLT102" s="450"/>
      <c r="BLU102" s="450"/>
      <c r="BLV102" s="450"/>
      <c r="BLW102" s="450"/>
      <c r="BLX102" s="450"/>
      <c r="BLY102" s="450"/>
      <c r="BLZ102" s="450"/>
      <c r="BMA102" s="450"/>
      <c r="BMB102" s="450"/>
      <c r="BMC102" s="450"/>
      <c r="BMD102" s="450"/>
      <c r="BME102" s="450"/>
      <c r="BMF102" s="450"/>
      <c r="BMG102" s="450"/>
      <c r="BMH102" s="450"/>
      <c r="BMI102" s="450"/>
      <c r="BMJ102" s="450"/>
      <c r="BMK102" s="450"/>
      <c r="BML102" s="450"/>
      <c r="BMM102" s="450"/>
      <c r="BMN102" s="450"/>
      <c r="BMO102" s="450"/>
      <c r="BMP102" s="450"/>
      <c r="BMQ102" s="450"/>
      <c r="BMR102" s="450"/>
      <c r="BMS102" s="450"/>
      <c r="BMT102" s="450"/>
      <c r="BMU102" s="450"/>
      <c r="BMV102" s="450"/>
      <c r="BMW102" s="450"/>
      <c r="BMX102" s="450"/>
      <c r="BMY102" s="450"/>
      <c r="BMZ102" s="450"/>
      <c r="BNA102" s="450"/>
      <c r="BNB102" s="450"/>
      <c r="BNC102" s="450"/>
      <c r="BND102" s="450"/>
      <c r="BNE102" s="450"/>
      <c r="BNF102" s="450"/>
      <c r="BNG102" s="450"/>
      <c r="BNH102" s="450"/>
      <c r="BNI102" s="450"/>
      <c r="BNJ102" s="450"/>
      <c r="BNK102" s="450"/>
      <c r="BNL102" s="450"/>
      <c r="BNM102" s="450"/>
      <c r="BNN102" s="450"/>
      <c r="BNO102" s="450"/>
      <c r="BNP102" s="450"/>
      <c r="BNQ102" s="450"/>
      <c r="BNR102" s="450"/>
      <c r="BNS102" s="450"/>
      <c r="BNT102" s="450"/>
      <c r="BNU102" s="450"/>
      <c r="BNV102" s="450"/>
      <c r="BNW102" s="450"/>
      <c r="BNX102" s="450"/>
      <c r="BNY102" s="450"/>
      <c r="BNZ102" s="450"/>
      <c r="BOA102" s="450"/>
      <c r="BOB102" s="450"/>
      <c r="BOC102" s="450"/>
      <c r="BOD102" s="450"/>
      <c r="BOE102" s="450"/>
      <c r="BOF102" s="450"/>
      <c r="BOG102" s="450"/>
      <c r="BOH102" s="450"/>
      <c r="BOI102" s="450"/>
      <c r="BOJ102" s="450"/>
      <c r="BOK102" s="450"/>
      <c r="BOL102" s="450"/>
      <c r="BOM102" s="450"/>
      <c r="BON102" s="450"/>
      <c r="BOO102" s="450"/>
      <c r="BOP102" s="450"/>
      <c r="BOQ102" s="450"/>
      <c r="BOR102" s="450"/>
      <c r="BOS102" s="450"/>
      <c r="BOT102" s="450"/>
      <c r="BOU102" s="450"/>
      <c r="BOV102" s="450"/>
      <c r="BOW102" s="450"/>
      <c r="BOX102" s="450"/>
      <c r="BOY102" s="450"/>
      <c r="BOZ102" s="450"/>
      <c r="BPA102" s="450"/>
      <c r="BPB102" s="450"/>
      <c r="BPC102" s="450"/>
      <c r="BPD102" s="450"/>
      <c r="BPE102" s="450"/>
      <c r="BPF102" s="450"/>
      <c r="BPG102" s="450"/>
      <c r="BPH102" s="450"/>
      <c r="BPI102" s="450"/>
      <c r="BPJ102" s="450"/>
      <c r="BPK102" s="450"/>
      <c r="BPL102" s="450"/>
      <c r="BPM102" s="450"/>
      <c r="BPN102" s="450"/>
      <c r="BPO102" s="450"/>
      <c r="BPP102" s="450"/>
      <c r="BPQ102" s="450"/>
      <c r="BPR102" s="450"/>
      <c r="BPS102" s="450"/>
      <c r="BPT102" s="450"/>
      <c r="BPU102" s="450"/>
      <c r="BPV102" s="450"/>
      <c r="BPW102" s="450"/>
      <c r="BPX102" s="450"/>
      <c r="BPY102" s="450"/>
      <c r="BPZ102" s="450"/>
      <c r="BQA102" s="450"/>
      <c r="BQB102" s="450"/>
      <c r="BQC102" s="450"/>
      <c r="BQD102" s="450"/>
      <c r="BQE102" s="450"/>
      <c r="BQF102" s="450"/>
      <c r="BQG102" s="450"/>
      <c r="BQH102" s="450"/>
      <c r="BQI102" s="450"/>
      <c r="BQJ102" s="450"/>
      <c r="BQK102" s="450"/>
      <c r="BQL102" s="450"/>
      <c r="BQM102" s="450"/>
      <c r="BQN102" s="450"/>
      <c r="BQO102" s="450"/>
      <c r="BQP102" s="450"/>
      <c r="BQQ102" s="450"/>
      <c r="BQR102" s="450"/>
      <c r="BQS102" s="450"/>
      <c r="BQT102" s="450"/>
      <c r="BQU102" s="450"/>
      <c r="BQV102" s="450"/>
      <c r="BQW102" s="450"/>
      <c r="BQX102" s="450"/>
      <c r="BQY102" s="450"/>
      <c r="BQZ102" s="450"/>
      <c r="BRA102" s="450"/>
      <c r="BRB102" s="450"/>
      <c r="BRC102" s="450"/>
      <c r="BRD102" s="450"/>
      <c r="BRE102" s="450"/>
      <c r="BRF102" s="450"/>
      <c r="BRG102" s="450"/>
      <c r="BRH102" s="450"/>
      <c r="BRI102" s="450"/>
      <c r="BRJ102" s="450"/>
      <c r="BRK102" s="450"/>
      <c r="BRL102" s="450"/>
      <c r="BRM102" s="450"/>
      <c r="BRN102" s="450"/>
      <c r="BRO102" s="450"/>
      <c r="BRP102" s="450"/>
      <c r="BRQ102" s="450"/>
      <c r="BRR102" s="450"/>
      <c r="BRS102" s="450"/>
      <c r="BRT102" s="450"/>
      <c r="BRU102" s="450"/>
      <c r="BRV102" s="450"/>
      <c r="BRW102" s="450"/>
      <c r="BRX102" s="450"/>
      <c r="BRY102" s="450"/>
      <c r="BRZ102" s="450"/>
      <c r="BSA102" s="450"/>
      <c r="BSB102" s="450"/>
      <c r="BSC102" s="450"/>
      <c r="BSD102" s="450"/>
      <c r="BSE102" s="450"/>
      <c r="BSF102" s="450"/>
      <c r="BSG102" s="450"/>
      <c r="BSH102" s="450"/>
      <c r="BSI102" s="450"/>
      <c r="BSJ102" s="450"/>
      <c r="BSK102" s="450"/>
      <c r="BSL102" s="450"/>
      <c r="BSM102" s="450"/>
      <c r="BSN102" s="450"/>
      <c r="BSO102" s="450"/>
      <c r="BSP102" s="450"/>
      <c r="BSQ102" s="450"/>
      <c r="BSR102" s="450"/>
      <c r="BSS102" s="450"/>
      <c r="BST102" s="450"/>
      <c r="BSU102" s="450"/>
      <c r="BSV102" s="450"/>
      <c r="BSW102" s="450"/>
      <c r="BSX102" s="450"/>
      <c r="BSY102" s="450"/>
      <c r="BSZ102" s="450"/>
      <c r="BTA102" s="450"/>
      <c r="BTB102" s="450"/>
      <c r="BTC102" s="450"/>
      <c r="BTD102" s="450"/>
      <c r="BTE102" s="450"/>
      <c r="BTF102" s="450"/>
      <c r="BTG102" s="450"/>
      <c r="BTH102" s="450"/>
      <c r="BTI102" s="450"/>
      <c r="BTJ102" s="450"/>
      <c r="BTK102" s="450"/>
      <c r="BTL102" s="450"/>
      <c r="BTM102" s="450"/>
      <c r="BTN102" s="450"/>
      <c r="BTO102" s="450"/>
      <c r="BTP102" s="450"/>
      <c r="BTQ102" s="450"/>
      <c r="BTR102" s="450"/>
      <c r="BTS102" s="450"/>
      <c r="BTT102" s="450"/>
      <c r="BTU102" s="450"/>
      <c r="BTV102" s="450"/>
      <c r="BTW102" s="450"/>
      <c r="BTX102" s="450"/>
      <c r="BTY102" s="450"/>
      <c r="BTZ102" s="450"/>
      <c r="BUA102" s="450"/>
      <c r="BUB102" s="450"/>
      <c r="BUC102" s="450"/>
      <c r="BUD102" s="450"/>
      <c r="BUE102" s="450"/>
      <c r="BUF102" s="450"/>
      <c r="BUG102" s="450"/>
      <c r="BUH102" s="450"/>
      <c r="BUI102" s="450"/>
      <c r="BUJ102" s="450"/>
      <c r="BUK102" s="450"/>
      <c r="BUL102" s="450"/>
      <c r="BUM102" s="450"/>
      <c r="BUN102" s="450"/>
      <c r="BUO102" s="450"/>
      <c r="BUP102" s="450"/>
      <c r="BUQ102" s="450"/>
      <c r="BUR102" s="450"/>
      <c r="BUS102" s="450"/>
      <c r="BUT102" s="450"/>
      <c r="BUU102" s="450"/>
      <c r="BUV102" s="450"/>
      <c r="BUW102" s="450"/>
      <c r="BUX102" s="450"/>
      <c r="BUY102" s="450"/>
      <c r="BUZ102" s="450"/>
      <c r="BVA102" s="450"/>
      <c r="BVB102" s="450"/>
      <c r="BVC102" s="450"/>
      <c r="BVD102" s="450"/>
      <c r="BVE102" s="450"/>
      <c r="BVF102" s="450"/>
      <c r="BVG102" s="450"/>
      <c r="BVH102" s="450"/>
      <c r="BVI102" s="450"/>
      <c r="BVJ102" s="450"/>
      <c r="BVK102" s="450"/>
      <c r="BVL102" s="450"/>
      <c r="BVM102" s="450"/>
      <c r="BVN102" s="450"/>
      <c r="BVO102" s="450"/>
      <c r="BVP102" s="450"/>
      <c r="BVQ102" s="450"/>
      <c r="BVR102" s="450"/>
      <c r="BVS102" s="450"/>
      <c r="BVT102" s="450"/>
      <c r="BVU102" s="450"/>
      <c r="BVV102" s="450"/>
      <c r="BVW102" s="450"/>
      <c r="BVX102" s="450"/>
      <c r="BVY102" s="450"/>
      <c r="BVZ102" s="450"/>
      <c r="BWA102" s="450"/>
      <c r="BWB102" s="450"/>
      <c r="BWC102" s="450"/>
      <c r="BWD102" s="450"/>
      <c r="BWE102" s="450"/>
      <c r="BWF102" s="450"/>
      <c r="BWG102" s="450"/>
      <c r="BWH102" s="450"/>
      <c r="BWI102" s="450"/>
      <c r="BWJ102" s="450"/>
      <c r="BWK102" s="450"/>
      <c r="BWL102" s="450"/>
      <c r="BWM102" s="450"/>
      <c r="BWN102" s="450"/>
      <c r="BWO102" s="450"/>
      <c r="BWP102" s="450"/>
      <c r="BWQ102" s="450"/>
      <c r="BWR102" s="450"/>
      <c r="BWS102" s="450"/>
      <c r="BWT102" s="450"/>
      <c r="BWU102" s="450"/>
      <c r="BWV102" s="450"/>
      <c r="BWW102" s="450"/>
      <c r="BWX102" s="450"/>
      <c r="BWY102" s="450"/>
      <c r="BWZ102" s="450"/>
      <c r="BXA102" s="450"/>
      <c r="BXB102" s="450"/>
      <c r="BXC102" s="450"/>
      <c r="BXD102" s="450"/>
      <c r="BXE102" s="450"/>
      <c r="BXF102" s="450"/>
      <c r="BXG102" s="450"/>
      <c r="BXH102" s="450"/>
      <c r="BXI102" s="450"/>
      <c r="BXJ102" s="450"/>
      <c r="BXK102" s="450"/>
      <c r="BXL102" s="450"/>
      <c r="BXM102" s="450"/>
      <c r="BXN102" s="450"/>
      <c r="BXO102" s="450"/>
      <c r="BXP102" s="450"/>
      <c r="BXQ102" s="450"/>
      <c r="BXR102" s="450"/>
      <c r="BXS102" s="450"/>
      <c r="BXT102" s="450"/>
      <c r="BXU102" s="450"/>
      <c r="BXV102" s="450"/>
      <c r="BXW102" s="450"/>
      <c r="BXX102" s="450"/>
      <c r="BXY102" s="450"/>
      <c r="BXZ102" s="450"/>
      <c r="BYA102" s="450"/>
      <c r="BYB102" s="450"/>
      <c r="BYC102" s="450"/>
      <c r="BYD102" s="450"/>
      <c r="BYE102" s="450"/>
      <c r="BYF102" s="450"/>
      <c r="BYG102" s="450"/>
      <c r="BYH102" s="450"/>
      <c r="BYI102" s="450"/>
      <c r="BYJ102" s="450"/>
      <c r="BYK102" s="450"/>
      <c r="BYL102" s="450"/>
      <c r="BYM102" s="450"/>
      <c r="BYN102" s="450"/>
      <c r="BYO102" s="450"/>
      <c r="BYP102" s="450"/>
      <c r="BYQ102" s="450"/>
      <c r="BYR102" s="450"/>
      <c r="BYS102" s="450"/>
      <c r="BYT102" s="450"/>
      <c r="BYU102" s="450"/>
      <c r="BYV102" s="450"/>
      <c r="BYW102" s="450"/>
      <c r="BYX102" s="450"/>
      <c r="BYY102" s="450"/>
      <c r="BYZ102" s="450"/>
      <c r="BZA102" s="450"/>
      <c r="BZB102" s="450"/>
      <c r="BZC102" s="450"/>
      <c r="BZD102" s="450"/>
      <c r="BZE102" s="450"/>
      <c r="BZF102" s="450"/>
      <c r="BZG102" s="450"/>
      <c r="BZH102" s="450"/>
      <c r="BZI102" s="450"/>
      <c r="BZJ102" s="450"/>
      <c r="BZK102" s="450"/>
      <c r="BZL102" s="450"/>
      <c r="BZM102" s="450"/>
      <c r="BZN102" s="450"/>
      <c r="BZO102" s="450"/>
      <c r="BZP102" s="450"/>
      <c r="BZQ102" s="450"/>
      <c r="BZR102" s="450"/>
      <c r="BZS102" s="450"/>
      <c r="BZT102" s="450"/>
      <c r="BZU102" s="450"/>
      <c r="BZV102" s="450"/>
      <c r="BZW102" s="450"/>
      <c r="BZX102" s="450"/>
      <c r="BZY102" s="450"/>
      <c r="BZZ102" s="450"/>
      <c r="CAA102" s="450"/>
      <c r="CAB102" s="450"/>
      <c r="CAC102" s="450"/>
      <c r="CAD102" s="450"/>
      <c r="CAE102" s="450"/>
      <c r="CAF102" s="450"/>
      <c r="CAG102" s="450"/>
      <c r="CAH102" s="450"/>
      <c r="CAI102" s="450"/>
      <c r="CAJ102" s="450"/>
      <c r="CAK102" s="450"/>
      <c r="CAL102" s="450"/>
      <c r="CAM102" s="450"/>
      <c r="CAN102" s="450"/>
      <c r="CAO102" s="450"/>
      <c r="CAP102" s="450"/>
      <c r="CAQ102" s="450"/>
      <c r="CAR102" s="450"/>
      <c r="CAS102" s="450"/>
      <c r="CAT102" s="450"/>
      <c r="CAU102" s="450"/>
      <c r="CAV102" s="450"/>
      <c r="CAW102" s="450"/>
      <c r="CAX102" s="450"/>
      <c r="CAY102" s="450"/>
      <c r="CAZ102" s="450"/>
      <c r="CBA102" s="450"/>
      <c r="CBB102" s="450"/>
      <c r="CBC102" s="450"/>
      <c r="CBD102" s="450"/>
      <c r="CBE102" s="450"/>
      <c r="CBF102" s="450"/>
      <c r="CBG102" s="450"/>
      <c r="CBH102" s="450"/>
      <c r="CBI102" s="450"/>
      <c r="CBJ102" s="450"/>
      <c r="CBK102" s="450"/>
      <c r="CBL102" s="450"/>
      <c r="CBM102" s="450"/>
      <c r="CBN102" s="450"/>
      <c r="CBO102" s="450"/>
      <c r="CBP102" s="450"/>
      <c r="CBQ102" s="450"/>
      <c r="CBR102" s="450"/>
      <c r="CBS102" s="450"/>
      <c r="CBT102" s="450"/>
      <c r="CBU102" s="450"/>
      <c r="CBV102" s="450"/>
      <c r="CBW102" s="450"/>
      <c r="CBX102" s="450"/>
      <c r="CBY102" s="450"/>
      <c r="CBZ102" s="450"/>
      <c r="CCA102" s="450"/>
      <c r="CCB102" s="450"/>
      <c r="CCC102" s="450"/>
      <c r="CCD102" s="450"/>
      <c r="CCE102" s="450"/>
      <c r="CCF102" s="450"/>
      <c r="CCG102" s="450"/>
      <c r="CCH102" s="450"/>
      <c r="CCI102" s="450"/>
      <c r="CCJ102" s="450"/>
      <c r="CCK102" s="450"/>
      <c r="CCL102" s="450"/>
      <c r="CCM102" s="450"/>
      <c r="CCN102" s="450"/>
      <c r="CCO102" s="450"/>
      <c r="CCP102" s="450"/>
      <c r="CCQ102" s="450"/>
      <c r="CCR102" s="450"/>
      <c r="CCS102" s="450"/>
      <c r="CCT102" s="450"/>
      <c r="CCU102" s="450"/>
      <c r="CCV102" s="450"/>
      <c r="CCW102" s="450"/>
      <c r="CCX102" s="450"/>
      <c r="CCY102" s="450"/>
      <c r="CCZ102" s="450"/>
      <c r="CDA102" s="450"/>
      <c r="CDB102" s="450"/>
      <c r="CDC102" s="450"/>
      <c r="CDD102" s="450"/>
      <c r="CDE102" s="450"/>
      <c r="CDF102" s="450"/>
      <c r="CDG102" s="450"/>
      <c r="CDH102" s="450"/>
      <c r="CDI102" s="450"/>
      <c r="CDJ102" s="450"/>
      <c r="CDK102" s="450"/>
      <c r="CDL102" s="450"/>
      <c r="CDM102" s="450"/>
      <c r="CDN102" s="450"/>
      <c r="CDO102" s="450"/>
      <c r="CDP102" s="450"/>
      <c r="CDQ102" s="450"/>
      <c r="CDR102" s="450"/>
      <c r="CDS102" s="450"/>
      <c r="CDT102" s="450"/>
      <c r="CDU102" s="450"/>
      <c r="CDV102" s="450"/>
      <c r="CDW102" s="450"/>
      <c r="CDX102" s="450"/>
      <c r="CDY102" s="450"/>
      <c r="CDZ102" s="450"/>
      <c r="CEA102" s="450"/>
      <c r="CEB102" s="450"/>
      <c r="CEC102" s="450"/>
      <c r="CED102" s="450"/>
      <c r="CEE102" s="450"/>
      <c r="CEF102" s="450"/>
      <c r="CEG102" s="450"/>
      <c r="CEH102" s="450"/>
      <c r="CEI102" s="450"/>
      <c r="CEJ102" s="450"/>
      <c r="CEK102" s="450"/>
      <c r="CEL102" s="450"/>
      <c r="CEM102" s="450"/>
      <c r="CEN102" s="450"/>
      <c r="CEO102" s="450"/>
      <c r="CEP102" s="450"/>
      <c r="CEQ102" s="450"/>
      <c r="CER102" s="450"/>
      <c r="CES102" s="450"/>
      <c r="CET102" s="450"/>
      <c r="CEU102" s="450"/>
      <c r="CEV102" s="450"/>
      <c r="CEW102" s="450"/>
      <c r="CEX102" s="450"/>
      <c r="CEY102" s="450"/>
      <c r="CEZ102" s="450"/>
      <c r="CFA102" s="450"/>
      <c r="CFB102" s="450"/>
      <c r="CFC102" s="450"/>
      <c r="CFD102" s="450"/>
      <c r="CFE102" s="450"/>
      <c r="CFF102" s="450"/>
      <c r="CFG102" s="450"/>
      <c r="CFH102" s="450"/>
      <c r="CFI102" s="450"/>
      <c r="CFJ102" s="450"/>
      <c r="CFK102" s="450"/>
      <c r="CFL102" s="450"/>
      <c r="CFM102" s="450"/>
      <c r="CFN102" s="450"/>
      <c r="CFO102" s="450"/>
      <c r="CFP102" s="450"/>
      <c r="CFQ102" s="450"/>
      <c r="CFR102" s="450"/>
      <c r="CFS102" s="450"/>
      <c r="CFT102" s="450"/>
      <c r="CFU102" s="450"/>
      <c r="CFV102" s="450"/>
      <c r="CFW102" s="450"/>
      <c r="CFX102" s="450"/>
      <c r="CFY102" s="450"/>
      <c r="CFZ102" s="450"/>
      <c r="CGA102" s="450"/>
      <c r="CGB102" s="450"/>
      <c r="CGC102" s="450"/>
      <c r="CGD102" s="450"/>
      <c r="CGE102" s="450"/>
      <c r="CGF102" s="450"/>
      <c r="CGG102" s="450"/>
      <c r="CGH102" s="450"/>
      <c r="CGI102" s="450"/>
      <c r="CGJ102" s="450"/>
      <c r="CGK102" s="450"/>
      <c r="CGL102" s="450"/>
      <c r="CGM102" s="450"/>
      <c r="CGN102" s="450"/>
      <c r="CGO102" s="450"/>
      <c r="CGP102" s="450"/>
      <c r="CGQ102" s="450"/>
      <c r="CGR102" s="450"/>
      <c r="CGS102" s="450"/>
      <c r="CGT102" s="450"/>
      <c r="CGU102" s="450"/>
      <c r="CGV102" s="450"/>
      <c r="CGW102" s="450"/>
      <c r="CGX102" s="450"/>
      <c r="CGY102" s="450"/>
      <c r="CGZ102" s="450"/>
      <c r="CHA102" s="450"/>
      <c r="CHB102" s="450"/>
      <c r="CHC102" s="450"/>
      <c r="CHD102" s="450"/>
      <c r="CHE102" s="450"/>
      <c r="CHF102" s="450"/>
      <c r="CHG102" s="450"/>
      <c r="CHH102" s="450"/>
      <c r="CHI102" s="450"/>
      <c r="CHJ102" s="450"/>
      <c r="CHK102" s="450"/>
      <c r="CHL102" s="450"/>
      <c r="CHM102" s="450"/>
      <c r="CHN102" s="450"/>
      <c r="CHO102" s="450"/>
      <c r="CHP102" s="450"/>
      <c r="CHQ102" s="450"/>
      <c r="CHR102" s="450"/>
      <c r="CHS102" s="450"/>
      <c r="CHT102" s="450"/>
      <c r="CHU102" s="450"/>
      <c r="CHV102" s="450"/>
      <c r="CHW102" s="450"/>
      <c r="CHX102" s="450"/>
      <c r="CHY102" s="450"/>
      <c r="CHZ102" s="450"/>
      <c r="CIA102" s="450"/>
      <c r="CIB102" s="450"/>
      <c r="CIC102" s="450"/>
      <c r="CID102" s="450"/>
      <c r="CIE102" s="450"/>
      <c r="CIF102" s="450"/>
      <c r="CIG102" s="450"/>
      <c r="CIH102" s="450"/>
      <c r="CII102" s="450"/>
      <c r="CIJ102" s="450"/>
      <c r="CIK102" s="450"/>
      <c r="CIL102" s="450"/>
      <c r="CIM102" s="450"/>
      <c r="CIN102" s="450"/>
      <c r="CIO102" s="450"/>
      <c r="CIP102" s="450"/>
      <c r="CIQ102" s="450"/>
      <c r="CIR102" s="450"/>
      <c r="CIS102" s="450"/>
      <c r="CIT102" s="450"/>
      <c r="CIU102" s="450"/>
      <c r="CIV102" s="450"/>
      <c r="CIW102" s="450"/>
      <c r="CIX102" s="450"/>
      <c r="CIY102" s="450"/>
      <c r="CIZ102" s="450"/>
      <c r="CJA102" s="450"/>
      <c r="CJB102" s="450"/>
      <c r="CJC102" s="450"/>
      <c r="CJD102" s="450"/>
      <c r="CJE102" s="450"/>
      <c r="CJF102" s="450"/>
      <c r="CJG102" s="450"/>
      <c r="CJH102" s="450"/>
      <c r="CJI102" s="450"/>
      <c r="CJJ102" s="450"/>
      <c r="CJK102" s="450"/>
      <c r="CJL102" s="450"/>
      <c r="CJM102" s="450"/>
      <c r="CJN102" s="450"/>
      <c r="CJO102" s="450"/>
      <c r="CJP102" s="450"/>
      <c r="CJQ102" s="450"/>
      <c r="CJR102" s="450"/>
      <c r="CJS102" s="450"/>
      <c r="CJT102" s="450"/>
      <c r="CJU102" s="450"/>
      <c r="CJV102" s="450"/>
      <c r="CJW102" s="450"/>
      <c r="CJX102" s="450"/>
      <c r="CJY102" s="450"/>
      <c r="CJZ102" s="450"/>
      <c r="CKA102" s="450"/>
      <c r="CKB102" s="450"/>
      <c r="CKC102" s="450"/>
      <c r="CKD102" s="450"/>
      <c r="CKE102" s="450"/>
      <c r="CKF102" s="450"/>
      <c r="CKG102" s="450"/>
      <c r="CKH102" s="450"/>
      <c r="CKI102" s="450"/>
      <c r="CKJ102" s="450"/>
      <c r="CKK102" s="450"/>
      <c r="CKL102" s="450"/>
      <c r="CKM102" s="450"/>
      <c r="CKN102" s="450"/>
      <c r="CKO102" s="450"/>
      <c r="CKP102" s="450"/>
      <c r="CKQ102" s="450"/>
      <c r="CKR102" s="450"/>
      <c r="CKS102" s="450"/>
      <c r="CKT102" s="450"/>
      <c r="CKU102" s="450"/>
      <c r="CKV102" s="450"/>
      <c r="CKW102" s="450"/>
      <c r="CKX102" s="450"/>
      <c r="CKY102" s="450"/>
      <c r="CKZ102" s="450"/>
      <c r="CLA102" s="450"/>
      <c r="CLB102" s="450"/>
      <c r="CLC102" s="450"/>
      <c r="CLD102" s="450"/>
      <c r="CLE102" s="450"/>
      <c r="CLF102" s="450"/>
      <c r="CLG102" s="450"/>
      <c r="CLH102" s="450"/>
      <c r="CLI102" s="450"/>
      <c r="CLJ102" s="450"/>
      <c r="CLK102" s="450"/>
      <c r="CLL102" s="450"/>
      <c r="CLM102" s="450"/>
      <c r="CLN102" s="450"/>
      <c r="CLO102" s="450"/>
      <c r="CLP102" s="450"/>
      <c r="CLQ102" s="450"/>
      <c r="CLR102" s="450"/>
      <c r="CLS102" s="450"/>
      <c r="CLT102" s="450"/>
      <c r="CLU102" s="450"/>
      <c r="CLV102" s="450"/>
      <c r="CLW102" s="450"/>
      <c r="CLX102" s="450"/>
      <c r="CLY102" s="450"/>
      <c r="CLZ102" s="450"/>
      <c r="CMA102" s="450"/>
      <c r="CMB102" s="450"/>
      <c r="CMC102" s="450"/>
      <c r="CMD102" s="450"/>
      <c r="CME102" s="450"/>
      <c r="CMF102" s="450"/>
      <c r="CMG102" s="450"/>
      <c r="CMH102" s="450"/>
      <c r="CMI102" s="450"/>
      <c r="CMJ102" s="450"/>
      <c r="CMK102" s="450"/>
      <c r="CML102" s="450"/>
      <c r="CMM102" s="450"/>
      <c r="CMN102" s="450"/>
      <c r="CMO102" s="450"/>
      <c r="CMP102" s="450"/>
      <c r="CMQ102" s="450"/>
      <c r="CMR102" s="450"/>
      <c r="CMS102" s="450"/>
      <c r="CMT102" s="450"/>
      <c r="CMU102" s="450"/>
      <c r="CMV102" s="450"/>
      <c r="CMW102" s="450"/>
      <c r="CMX102" s="450"/>
      <c r="CMY102" s="450"/>
      <c r="CMZ102" s="450"/>
      <c r="CNA102" s="450"/>
      <c r="CNB102" s="450"/>
      <c r="CNC102" s="450"/>
      <c r="CND102" s="450"/>
      <c r="CNE102" s="450"/>
      <c r="CNF102" s="450"/>
      <c r="CNG102" s="450"/>
      <c r="CNH102" s="450"/>
      <c r="CNI102" s="450"/>
      <c r="CNJ102" s="450"/>
      <c r="CNK102" s="450"/>
      <c r="CNL102" s="450"/>
      <c r="CNM102" s="450"/>
      <c r="CNN102" s="450"/>
      <c r="CNO102" s="450"/>
      <c r="CNP102" s="450"/>
      <c r="CNQ102" s="450"/>
      <c r="CNR102" s="450"/>
      <c r="CNS102" s="450"/>
      <c r="CNT102" s="450"/>
      <c r="CNU102" s="450"/>
      <c r="CNV102" s="450"/>
      <c r="CNW102" s="450"/>
      <c r="CNX102" s="450"/>
      <c r="CNY102" s="450"/>
      <c r="CNZ102" s="450"/>
      <c r="COA102" s="450"/>
      <c r="COB102" s="450"/>
      <c r="COC102" s="450"/>
      <c r="COD102" s="450"/>
      <c r="COE102" s="450"/>
      <c r="COF102" s="450"/>
      <c r="COG102" s="450"/>
      <c r="COH102" s="450"/>
      <c r="COI102" s="450"/>
      <c r="COJ102" s="450"/>
      <c r="COK102" s="450"/>
      <c r="COL102" s="450"/>
      <c r="COM102" s="450"/>
      <c r="CON102" s="450"/>
      <c r="COO102" s="450"/>
      <c r="COP102" s="450"/>
      <c r="COQ102" s="450"/>
      <c r="COR102" s="450"/>
      <c r="COS102" s="450"/>
      <c r="COT102" s="450"/>
      <c r="COU102" s="450"/>
      <c r="COV102" s="450"/>
      <c r="COW102" s="450"/>
      <c r="COX102" s="450"/>
      <c r="COY102" s="450"/>
      <c r="COZ102" s="450"/>
      <c r="CPA102" s="450"/>
      <c r="CPB102" s="450"/>
      <c r="CPC102" s="450"/>
      <c r="CPD102" s="450"/>
      <c r="CPE102" s="450"/>
      <c r="CPF102" s="450"/>
      <c r="CPG102" s="450"/>
      <c r="CPH102" s="450"/>
      <c r="CPI102" s="450"/>
      <c r="CPJ102" s="450"/>
      <c r="CPK102" s="450"/>
      <c r="CPL102" s="450"/>
      <c r="CPM102" s="450"/>
      <c r="CPN102" s="450"/>
      <c r="CPO102" s="450"/>
      <c r="CPP102" s="450"/>
      <c r="CPQ102" s="450"/>
      <c r="CPR102" s="450"/>
      <c r="CPS102" s="450"/>
      <c r="CPT102" s="450"/>
      <c r="CPU102" s="450"/>
      <c r="CPV102" s="450"/>
      <c r="CPW102" s="450"/>
      <c r="CPX102" s="450"/>
      <c r="CPY102" s="450"/>
      <c r="CPZ102" s="450"/>
      <c r="CQA102" s="450"/>
      <c r="CQB102" s="450"/>
      <c r="CQC102" s="450"/>
      <c r="CQD102" s="450"/>
      <c r="CQE102" s="450"/>
      <c r="CQF102" s="450"/>
      <c r="CQG102" s="450"/>
      <c r="CQH102" s="450"/>
      <c r="CQI102" s="450"/>
      <c r="CQJ102" s="450"/>
      <c r="CQK102" s="450"/>
      <c r="CQL102" s="450"/>
      <c r="CQM102" s="450"/>
      <c r="CQN102" s="450"/>
      <c r="CQO102" s="450"/>
      <c r="CQP102" s="450"/>
      <c r="CQQ102" s="450"/>
      <c r="CQR102" s="450"/>
      <c r="CQS102" s="450"/>
      <c r="CQT102" s="450"/>
      <c r="CQU102" s="450"/>
      <c r="CQV102" s="450"/>
      <c r="CQW102" s="450"/>
      <c r="CQX102" s="450"/>
      <c r="CQY102" s="450"/>
      <c r="CQZ102" s="450"/>
      <c r="CRA102" s="450"/>
      <c r="CRB102" s="450"/>
      <c r="CRC102" s="450"/>
      <c r="CRD102" s="450"/>
      <c r="CRE102" s="450"/>
      <c r="CRF102" s="450"/>
      <c r="CRG102" s="450"/>
      <c r="CRH102" s="450"/>
      <c r="CRI102" s="450"/>
      <c r="CRJ102" s="450"/>
      <c r="CRK102" s="450"/>
      <c r="CRL102" s="450"/>
      <c r="CRM102" s="450"/>
      <c r="CRN102" s="450"/>
      <c r="CRO102" s="450"/>
      <c r="CRP102" s="450"/>
      <c r="CRQ102" s="450"/>
      <c r="CRR102" s="450"/>
      <c r="CRS102" s="450"/>
      <c r="CRT102" s="450"/>
      <c r="CRU102" s="450"/>
      <c r="CRV102" s="450"/>
      <c r="CRW102" s="450"/>
      <c r="CRX102" s="450"/>
      <c r="CRY102" s="450"/>
      <c r="CRZ102" s="450"/>
      <c r="CSA102" s="450"/>
      <c r="CSB102" s="450"/>
      <c r="CSC102" s="450"/>
      <c r="CSD102" s="450"/>
      <c r="CSE102" s="450"/>
      <c r="CSF102" s="450"/>
      <c r="CSG102" s="450"/>
      <c r="CSH102" s="450"/>
      <c r="CSI102" s="450"/>
      <c r="CSJ102" s="450"/>
      <c r="CSK102" s="450"/>
      <c r="CSL102" s="450"/>
      <c r="CSM102" s="450"/>
      <c r="CSN102" s="450"/>
      <c r="CSO102" s="450"/>
      <c r="CSP102" s="450"/>
      <c r="CSQ102" s="450"/>
      <c r="CSR102" s="450"/>
      <c r="CSS102" s="450"/>
      <c r="CST102" s="450"/>
      <c r="CSU102" s="450"/>
      <c r="CSV102" s="450"/>
      <c r="CSW102" s="450"/>
      <c r="CSX102" s="450"/>
      <c r="CSY102" s="450"/>
      <c r="CSZ102" s="450"/>
      <c r="CTA102" s="450"/>
      <c r="CTB102" s="450"/>
      <c r="CTC102" s="450"/>
      <c r="CTD102" s="450"/>
      <c r="CTE102" s="450"/>
      <c r="CTF102" s="450"/>
      <c r="CTG102" s="450"/>
      <c r="CTH102" s="450"/>
      <c r="CTI102" s="450"/>
      <c r="CTJ102" s="450"/>
      <c r="CTK102" s="450"/>
      <c r="CTL102" s="450"/>
      <c r="CTM102" s="450"/>
      <c r="CTN102" s="450"/>
      <c r="CTO102" s="450"/>
      <c r="CTP102" s="450"/>
      <c r="CTQ102" s="450"/>
      <c r="CTR102" s="450"/>
      <c r="CTS102" s="450"/>
      <c r="CTT102" s="450"/>
      <c r="CTU102" s="450"/>
      <c r="CTV102" s="450"/>
      <c r="CTW102" s="450"/>
      <c r="CTX102" s="450"/>
      <c r="CTY102" s="450"/>
      <c r="CTZ102" s="450"/>
      <c r="CUA102" s="450"/>
      <c r="CUB102" s="450"/>
      <c r="CUC102" s="450"/>
      <c r="CUD102" s="450"/>
      <c r="CUE102" s="450"/>
      <c r="CUF102" s="450"/>
      <c r="CUG102" s="450"/>
      <c r="CUH102" s="450"/>
      <c r="CUI102" s="450"/>
      <c r="CUJ102" s="450"/>
      <c r="CUK102" s="450"/>
      <c r="CUL102" s="450"/>
      <c r="CUM102" s="450"/>
      <c r="CUN102" s="450"/>
      <c r="CUO102" s="450"/>
      <c r="CUP102" s="450"/>
      <c r="CUQ102" s="450"/>
      <c r="CUR102" s="450"/>
      <c r="CUS102" s="450"/>
      <c r="CUT102" s="450"/>
      <c r="CUU102" s="450"/>
      <c r="CUV102" s="450"/>
      <c r="CUW102" s="450"/>
      <c r="CUX102" s="450"/>
      <c r="CUY102" s="450"/>
      <c r="CUZ102" s="450"/>
      <c r="CVA102" s="450"/>
      <c r="CVB102" s="450"/>
      <c r="CVC102" s="450"/>
      <c r="CVD102" s="450"/>
      <c r="CVE102" s="450"/>
      <c r="CVF102" s="450"/>
      <c r="CVG102" s="450"/>
      <c r="CVH102" s="450"/>
      <c r="CVI102" s="450"/>
      <c r="CVJ102" s="450"/>
      <c r="CVK102" s="450"/>
      <c r="CVL102" s="450"/>
      <c r="CVM102" s="450"/>
      <c r="CVN102" s="450"/>
      <c r="CVO102" s="450"/>
      <c r="CVP102" s="450"/>
      <c r="CVQ102" s="450"/>
      <c r="CVR102" s="450"/>
      <c r="CVS102" s="450"/>
      <c r="CVT102" s="450"/>
      <c r="CVU102" s="450"/>
      <c r="CVV102" s="450"/>
      <c r="CVW102" s="450"/>
      <c r="CVX102" s="450"/>
      <c r="CVY102" s="450"/>
      <c r="CVZ102" s="450"/>
      <c r="CWA102" s="450"/>
      <c r="CWB102" s="450"/>
      <c r="CWC102" s="450"/>
      <c r="CWD102" s="450"/>
      <c r="CWE102" s="450"/>
      <c r="CWF102" s="450"/>
      <c r="CWG102" s="450"/>
      <c r="CWH102" s="450"/>
      <c r="CWI102" s="450"/>
      <c r="CWJ102" s="450"/>
      <c r="CWK102" s="450"/>
      <c r="CWL102" s="450"/>
      <c r="CWM102" s="450"/>
      <c r="CWN102" s="450"/>
      <c r="CWO102" s="450"/>
      <c r="CWP102" s="450"/>
      <c r="CWQ102" s="450"/>
      <c r="CWR102" s="450"/>
      <c r="CWS102" s="450"/>
      <c r="CWT102" s="450"/>
      <c r="CWU102" s="450"/>
      <c r="CWV102" s="450"/>
      <c r="CWW102" s="450"/>
      <c r="CWX102" s="450"/>
      <c r="CWY102" s="450"/>
      <c r="CWZ102" s="450"/>
      <c r="CXA102" s="450"/>
      <c r="CXB102" s="450"/>
      <c r="CXC102" s="450"/>
      <c r="CXD102" s="450"/>
      <c r="CXE102" s="450"/>
      <c r="CXF102" s="450"/>
      <c r="CXG102" s="450"/>
      <c r="CXH102" s="450"/>
      <c r="CXI102" s="450"/>
      <c r="CXJ102" s="450"/>
      <c r="CXK102" s="450"/>
      <c r="CXL102" s="450"/>
      <c r="CXM102" s="450"/>
      <c r="CXN102" s="450"/>
      <c r="CXO102" s="450"/>
      <c r="CXP102" s="450"/>
      <c r="CXQ102" s="450"/>
      <c r="CXR102" s="450"/>
      <c r="CXS102" s="450"/>
      <c r="CXT102" s="450"/>
      <c r="CXU102" s="450"/>
      <c r="CXV102" s="450"/>
      <c r="CXW102" s="450"/>
      <c r="CXX102" s="450"/>
      <c r="CXY102" s="450"/>
      <c r="CXZ102" s="450"/>
      <c r="CYA102" s="450"/>
      <c r="CYB102" s="450"/>
      <c r="CYC102" s="450"/>
      <c r="CYD102" s="450"/>
      <c r="CYE102" s="450"/>
      <c r="CYF102" s="450"/>
      <c r="CYG102" s="450"/>
      <c r="CYH102" s="450"/>
      <c r="CYI102" s="450"/>
      <c r="CYJ102" s="450"/>
      <c r="CYK102" s="450"/>
      <c r="CYL102" s="450"/>
      <c r="CYM102" s="450"/>
      <c r="CYN102" s="450"/>
      <c r="CYO102" s="450"/>
      <c r="CYP102" s="450"/>
      <c r="CYQ102" s="450"/>
      <c r="CYR102" s="450"/>
      <c r="CYS102" s="450"/>
      <c r="CYT102" s="450"/>
      <c r="CYU102" s="450"/>
      <c r="CYV102" s="450"/>
      <c r="CYW102" s="450"/>
      <c r="CYX102" s="450"/>
      <c r="CYY102" s="450"/>
      <c r="CYZ102" s="450"/>
      <c r="CZA102" s="450"/>
      <c r="CZB102" s="450"/>
      <c r="CZC102" s="450"/>
      <c r="CZD102" s="450"/>
      <c r="CZE102" s="450"/>
      <c r="CZF102" s="450"/>
      <c r="CZG102" s="450"/>
      <c r="CZH102" s="450"/>
      <c r="CZI102" s="450"/>
      <c r="CZJ102" s="450"/>
      <c r="CZK102" s="450"/>
      <c r="CZL102" s="450"/>
      <c r="CZM102" s="450"/>
      <c r="CZN102" s="450"/>
      <c r="CZO102" s="450"/>
      <c r="CZP102" s="450"/>
      <c r="CZQ102" s="450"/>
      <c r="CZR102" s="450"/>
      <c r="CZS102" s="450"/>
      <c r="CZT102" s="450"/>
      <c r="CZU102" s="450"/>
      <c r="CZV102" s="450"/>
      <c r="CZW102" s="450"/>
      <c r="CZX102" s="450"/>
      <c r="CZY102" s="450"/>
      <c r="CZZ102" s="450"/>
      <c r="DAA102" s="450"/>
      <c r="DAB102" s="450"/>
      <c r="DAC102" s="450"/>
      <c r="DAD102" s="450"/>
      <c r="DAE102" s="450"/>
      <c r="DAF102" s="450"/>
      <c r="DAG102" s="450"/>
      <c r="DAH102" s="450"/>
      <c r="DAI102" s="450"/>
      <c r="DAJ102" s="450"/>
      <c r="DAK102" s="450"/>
      <c r="DAL102" s="450"/>
      <c r="DAM102" s="450"/>
      <c r="DAN102" s="450"/>
      <c r="DAO102" s="450"/>
      <c r="DAP102" s="450"/>
      <c r="DAQ102" s="450"/>
      <c r="DAR102" s="450"/>
      <c r="DAS102" s="450"/>
      <c r="DAT102" s="450"/>
      <c r="DAU102" s="450"/>
      <c r="DAV102" s="450"/>
      <c r="DAW102" s="450"/>
      <c r="DAX102" s="450"/>
      <c r="DAY102" s="450"/>
      <c r="DAZ102" s="450"/>
      <c r="DBA102" s="450"/>
      <c r="DBB102" s="450"/>
      <c r="DBC102" s="450"/>
      <c r="DBD102" s="450"/>
      <c r="DBE102" s="450"/>
      <c r="DBF102" s="450"/>
      <c r="DBG102" s="450"/>
      <c r="DBH102" s="450"/>
      <c r="DBI102" s="450"/>
      <c r="DBJ102" s="450"/>
      <c r="DBK102" s="450"/>
      <c r="DBL102" s="450"/>
      <c r="DBM102" s="450"/>
      <c r="DBN102" s="450"/>
      <c r="DBO102" s="450"/>
      <c r="DBP102" s="450"/>
      <c r="DBQ102" s="450"/>
      <c r="DBR102" s="450"/>
      <c r="DBS102" s="450"/>
      <c r="DBT102" s="450"/>
      <c r="DBU102" s="450"/>
      <c r="DBV102" s="450"/>
      <c r="DBW102" s="450"/>
      <c r="DBX102" s="450"/>
      <c r="DBY102" s="450"/>
      <c r="DBZ102" s="450"/>
      <c r="DCA102" s="450"/>
      <c r="DCB102" s="450"/>
      <c r="DCC102" s="450"/>
      <c r="DCD102" s="450"/>
      <c r="DCE102" s="450"/>
      <c r="DCF102" s="450"/>
      <c r="DCG102" s="450"/>
      <c r="DCH102" s="450"/>
      <c r="DCI102" s="450"/>
      <c r="DCJ102" s="450"/>
      <c r="DCK102" s="450"/>
      <c r="DCL102" s="450"/>
      <c r="DCM102" s="450"/>
      <c r="DCN102" s="450"/>
      <c r="DCO102" s="450"/>
      <c r="DCP102" s="450"/>
      <c r="DCQ102" s="450"/>
      <c r="DCR102" s="450"/>
      <c r="DCS102" s="450"/>
      <c r="DCT102" s="450"/>
      <c r="DCU102" s="450"/>
      <c r="DCV102" s="450"/>
      <c r="DCW102" s="450"/>
      <c r="DCX102" s="450"/>
      <c r="DCY102" s="450"/>
      <c r="DCZ102" s="450"/>
      <c r="DDA102" s="450"/>
      <c r="DDB102" s="450"/>
      <c r="DDC102" s="450"/>
      <c r="DDD102" s="450"/>
      <c r="DDE102" s="450"/>
      <c r="DDF102" s="450"/>
      <c r="DDG102" s="450"/>
      <c r="DDH102" s="450"/>
      <c r="DDI102" s="450"/>
      <c r="DDJ102" s="450"/>
      <c r="DDK102" s="450"/>
      <c r="DDL102" s="450"/>
      <c r="DDM102" s="450"/>
      <c r="DDN102" s="450"/>
      <c r="DDO102" s="450"/>
      <c r="DDP102" s="450"/>
      <c r="DDQ102" s="450"/>
      <c r="DDR102" s="450"/>
      <c r="DDS102" s="450"/>
      <c r="DDT102" s="450"/>
      <c r="DDU102" s="450"/>
      <c r="DDV102" s="450"/>
      <c r="DDW102" s="450"/>
      <c r="DDX102" s="450"/>
      <c r="DDY102" s="450"/>
      <c r="DDZ102" s="450"/>
      <c r="DEA102" s="450"/>
      <c r="DEB102" s="450"/>
      <c r="DEC102" s="450"/>
      <c r="DED102" s="450"/>
      <c r="DEE102" s="450"/>
      <c r="DEF102" s="450"/>
      <c r="DEG102" s="450"/>
      <c r="DEH102" s="450"/>
      <c r="DEI102" s="450"/>
      <c r="DEJ102" s="450"/>
      <c r="DEK102" s="450"/>
      <c r="DEL102" s="450"/>
      <c r="DEM102" s="450"/>
      <c r="DEN102" s="450"/>
      <c r="DEO102" s="450"/>
      <c r="DEP102" s="450"/>
      <c r="DEQ102" s="450"/>
      <c r="DER102" s="450"/>
      <c r="DES102" s="450"/>
      <c r="DET102" s="450"/>
      <c r="DEU102" s="450"/>
      <c r="DEV102" s="450"/>
      <c r="DEW102" s="450"/>
      <c r="DEX102" s="450"/>
      <c r="DEY102" s="450"/>
      <c r="DEZ102" s="450"/>
      <c r="DFA102" s="450"/>
      <c r="DFB102" s="450"/>
      <c r="DFC102" s="450"/>
      <c r="DFD102" s="450"/>
      <c r="DFE102" s="450"/>
      <c r="DFF102" s="450"/>
      <c r="DFG102" s="450"/>
      <c r="DFH102" s="450"/>
      <c r="DFI102" s="450"/>
      <c r="DFJ102" s="450"/>
      <c r="DFK102" s="450"/>
      <c r="DFL102" s="450"/>
      <c r="DFM102" s="450"/>
      <c r="DFN102" s="450"/>
      <c r="DFO102" s="450"/>
      <c r="DFP102" s="450"/>
      <c r="DFQ102" s="450"/>
      <c r="DFR102" s="450"/>
      <c r="DFS102" s="450"/>
      <c r="DFT102" s="450"/>
      <c r="DFU102" s="450"/>
      <c r="DFV102" s="450"/>
      <c r="DFW102" s="450"/>
      <c r="DFX102" s="450"/>
      <c r="DFY102" s="450"/>
      <c r="DFZ102" s="450"/>
      <c r="DGA102" s="450"/>
      <c r="DGB102" s="450"/>
      <c r="DGC102" s="450"/>
      <c r="DGD102" s="450"/>
      <c r="DGE102" s="450"/>
      <c r="DGF102" s="450"/>
      <c r="DGG102" s="450"/>
      <c r="DGH102" s="450"/>
      <c r="DGI102" s="450"/>
      <c r="DGJ102" s="450"/>
      <c r="DGK102" s="450"/>
      <c r="DGL102" s="450"/>
      <c r="DGM102" s="450"/>
      <c r="DGN102" s="450"/>
      <c r="DGO102" s="450"/>
      <c r="DGP102" s="450"/>
      <c r="DGQ102" s="450"/>
      <c r="DGR102" s="450"/>
      <c r="DGS102" s="450"/>
      <c r="DGT102" s="450"/>
      <c r="DGU102" s="450"/>
      <c r="DGV102" s="450"/>
      <c r="DGW102" s="450"/>
      <c r="DGX102" s="450"/>
      <c r="DGY102" s="450"/>
      <c r="DGZ102" s="450"/>
      <c r="DHA102" s="450"/>
      <c r="DHB102" s="450"/>
      <c r="DHC102" s="450"/>
      <c r="DHD102" s="450"/>
      <c r="DHE102" s="450"/>
      <c r="DHF102" s="450"/>
      <c r="DHG102" s="450"/>
      <c r="DHH102" s="450"/>
      <c r="DHI102" s="450"/>
      <c r="DHJ102" s="450"/>
      <c r="DHK102" s="450"/>
      <c r="DHL102" s="450"/>
      <c r="DHM102" s="450"/>
      <c r="DHN102" s="450"/>
      <c r="DHO102" s="450"/>
      <c r="DHP102" s="450"/>
      <c r="DHQ102" s="450"/>
      <c r="DHR102" s="450"/>
      <c r="DHS102" s="450"/>
      <c r="DHT102" s="450"/>
      <c r="DHU102" s="450"/>
      <c r="DHV102" s="450"/>
      <c r="DHW102" s="450"/>
      <c r="DHX102" s="450"/>
      <c r="DHY102" s="450"/>
      <c r="DHZ102" s="450"/>
      <c r="DIA102" s="450"/>
      <c r="DIB102" s="450"/>
      <c r="DIC102" s="450"/>
      <c r="DID102" s="450"/>
      <c r="DIE102" s="450"/>
      <c r="DIF102" s="450"/>
      <c r="DIG102" s="450"/>
      <c r="DIH102" s="450"/>
      <c r="DII102" s="450"/>
      <c r="DIJ102" s="450"/>
      <c r="DIK102" s="450"/>
      <c r="DIL102" s="450"/>
      <c r="DIM102" s="450"/>
      <c r="DIN102" s="450"/>
      <c r="DIO102" s="450"/>
      <c r="DIP102" s="450"/>
      <c r="DIQ102" s="450"/>
      <c r="DIR102" s="450"/>
      <c r="DIS102" s="450"/>
      <c r="DIT102" s="450"/>
      <c r="DIU102" s="450"/>
      <c r="DIV102" s="450"/>
      <c r="DIW102" s="450"/>
      <c r="DIX102" s="450"/>
      <c r="DIY102" s="450"/>
      <c r="DIZ102" s="450"/>
      <c r="DJA102" s="450"/>
      <c r="DJB102" s="450"/>
      <c r="DJC102" s="450"/>
      <c r="DJD102" s="450"/>
      <c r="DJE102" s="450"/>
      <c r="DJF102" s="450"/>
      <c r="DJG102" s="450"/>
      <c r="DJH102" s="450"/>
      <c r="DJI102" s="450"/>
      <c r="DJJ102" s="450"/>
      <c r="DJK102" s="450"/>
      <c r="DJL102" s="450"/>
      <c r="DJM102" s="450"/>
      <c r="DJN102" s="450"/>
      <c r="DJO102" s="450"/>
      <c r="DJP102" s="450"/>
      <c r="DJQ102" s="450"/>
      <c r="DJR102" s="450"/>
      <c r="DJS102" s="450"/>
      <c r="DJT102" s="450"/>
      <c r="DJU102" s="450"/>
      <c r="DJV102" s="450"/>
      <c r="DJW102" s="450"/>
      <c r="DJX102" s="450"/>
      <c r="DJY102" s="450"/>
      <c r="DJZ102" s="450"/>
      <c r="DKA102" s="450"/>
      <c r="DKB102" s="450"/>
      <c r="DKC102" s="450"/>
      <c r="DKD102" s="450"/>
      <c r="DKE102" s="450"/>
      <c r="DKF102" s="450"/>
      <c r="DKG102" s="450"/>
      <c r="DKH102" s="450"/>
      <c r="DKI102" s="450"/>
      <c r="DKJ102" s="450"/>
      <c r="DKK102" s="450"/>
      <c r="DKL102" s="450"/>
      <c r="DKM102" s="450"/>
      <c r="DKN102" s="450"/>
      <c r="DKO102" s="450"/>
      <c r="DKP102" s="450"/>
      <c r="DKQ102" s="450"/>
      <c r="DKR102" s="450"/>
      <c r="DKS102" s="450"/>
      <c r="DKT102" s="450"/>
      <c r="DKU102" s="450"/>
      <c r="DKV102" s="450"/>
      <c r="DKW102" s="450"/>
      <c r="DKX102" s="450"/>
      <c r="DKY102" s="450"/>
      <c r="DKZ102" s="450"/>
      <c r="DLA102" s="450"/>
      <c r="DLB102" s="450"/>
      <c r="DLC102" s="450"/>
      <c r="DLD102" s="450"/>
      <c r="DLE102" s="450"/>
      <c r="DLF102" s="450"/>
      <c r="DLG102" s="450"/>
      <c r="DLH102" s="450"/>
      <c r="DLI102" s="450"/>
      <c r="DLJ102" s="450"/>
      <c r="DLK102" s="450"/>
      <c r="DLL102" s="450"/>
      <c r="DLM102" s="450"/>
      <c r="DLN102" s="450"/>
      <c r="DLO102" s="450"/>
      <c r="DLP102" s="450"/>
      <c r="DLQ102" s="450"/>
      <c r="DLR102" s="450"/>
      <c r="DLS102" s="450"/>
      <c r="DLT102" s="450"/>
      <c r="DLU102" s="450"/>
      <c r="DLV102" s="450"/>
      <c r="DLW102" s="450"/>
      <c r="DLX102" s="450"/>
      <c r="DLY102" s="450"/>
      <c r="DLZ102" s="450"/>
      <c r="DMA102" s="450"/>
      <c r="DMB102" s="450"/>
      <c r="DMC102" s="450"/>
      <c r="DMD102" s="450"/>
      <c r="DME102" s="450"/>
      <c r="DMF102" s="450"/>
      <c r="DMG102" s="450"/>
      <c r="DMH102" s="450"/>
      <c r="DMI102" s="450"/>
      <c r="DMJ102" s="450"/>
      <c r="DMK102" s="450"/>
      <c r="DML102" s="450"/>
      <c r="DMM102" s="450"/>
      <c r="DMN102" s="450"/>
      <c r="DMO102" s="450"/>
      <c r="DMP102" s="450"/>
      <c r="DMQ102" s="450"/>
      <c r="DMR102" s="450"/>
      <c r="DMS102" s="450"/>
      <c r="DMT102" s="450"/>
      <c r="DMU102" s="450"/>
      <c r="DMV102" s="450"/>
      <c r="DMW102" s="450"/>
      <c r="DMX102" s="450"/>
      <c r="DMY102" s="450"/>
      <c r="DMZ102" s="450"/>
      <c r="DNA102" s="450"/>
      <c r="DNB102" s="450"/>
      <c r="DNC102" s="450"/>
      <c r="DND102" s="450"/>
      <c r="DNE102" s="450"/>
      <c r="DNF102" s="450"/>
      <c r="DNG102" s="450"/>
      <c r="DNH102" s="450"/>
      <c r="DNI102" s="450"/>
      <c r="DNJ102" s="450"/>
      <c r="DNK102" s="450"/>
      <c r="DNL102" s="450"/>
      <c r="DNM102" s="450"/>
      <c r="DNN102" s="450"/>
      <c r="DNO102" s="450"/>
      <c r="DNP102" s="450"/>
      <c r="DNQ102" s="450"/>
      <c r="DNR102" s="450"/>
      <c r="DNS102" s="450"/>
      <c r="DNT102" s="450"/>
      <c r="DNU102" s="450"/>
      <c r="DNV102" s="450"/>
      <c r="DNW102" s="450"/>
      <c r="DNX102" s="450"/>
      <c r="DNY102" s="450"/>
      <c r="DNZ102" s="450"/>
      <c r="DOA102" s="450"/>
      <c r="DOB102" s="450"/>
      <c r="DOC102" s="450"/>
      <c r="DOD102" s="450"/>
      <c r="DOE102" s="450"/>
      <c r="DOF102" s="450"/>
      <c r="DOG102" s="450"/>
      <c r="DOH102" s="450"/>
      <c r="DOI102" s="450"/>
      <c r="DOJ102" s="450"/>
      <c r="DOK102" s="450"/>
      <c r="DOL102" s="450"/>
      <c r="DOM102" s="450"/>
      <c r="DON102" s="450"/>
      <c r="DOO102" s="450"/>
      <c r="DOP102" s="450"/>
      <c r="DOQ102" s="450"/>
      <c r="DOR102" s="450"/>
      <c r="DOS102" s="450"/>
      <c r="DOT102" s="450"/>
      <c r="DOU102" s="450"/>
      <c r="DOV102" s="450"/>
      <c r="DOW102" s="450"/>
      <c r="DOX102" s="450"/>
      <c r="DOY102" s="450"/>
      <c r="DOZ102" s="450"/>
      <c r="DPA102" s="450"/>
      <c r="DPB102" s="450"/>
      <c r="DPC102" s="450"/>
      <c r="DPD102" s="450"/>
      <c r="DPE102" s="450"/>
      <c r="DPF102" s="450"/>
      <c r="DPG102" s="450"/>
      <c r="DPH102" s="450"/>
      <c r="DPI102" s="450"/>
      <c r="DPJ102" s="450"/>
      <c r="DPK102" s="450"/>
      <c r="DPL102" s="450"/>
      <c r="DPM102" s="450"/>
      <c r="DPN102" s="450"/>
      <c r="DPO102" s="450"/>
      <c r="DPP102" s="450"/>
      <c r="DPQ102" s="450"/>
      <c r="DPR102" s="450"/>
      <c r="DPS102" s="450"/>
      <c r="DPT102" s="450"/>
      <c r="DPU102" s="450"/>
      <c r="DPV102" s="450"/>
      <c r="DPW102" s="450"/>
      <c r="DPX102" s="450"/>
      <c r="DPY102" s="450"/>
      <c r="DPZ102" s="450"/>
      <c r="DQA102" s="450"/>
      <c r="DQB102" s="450"/>
      <c r="DQC102" s="450"/>
      <c r="DQD102" s="450"/>
      <c r="DQE102" s="450"/>
      <c r="DQF102" s="450"/>
      <c r="DQG102" s="450"/>
      <c r="DQH102" s="450"/>
      <c r="DQI102" s="450"/>
      <c r="DQJ102" s="450"/>
      <c r="DQK102" s="450"/>
      <c r="DQL102" s="450"/>
      <c r="DQM102" s="450"/>
      <c r="DQN102" s="450"/>
      <c r="DQO102" s="450"/>
      <c r="DQP102" s="450"/>
      <c r="DQQ102" s="450"/>
      <c r="DQR102" s="450"/>
      <c r="DQS102" s="450"/>
      <c r="DQT102" s="450"/>
      <c r="DQU102" s="450"/>
      <c r="DQV102" s="450"/>
      <c r="DQW102" s="450"/>
      <c r="DQX102" s="450"/>
      <c r="DQY102" s="450"/>
      <c r="DQZ102" s="450"/>
      <c r="DRA102" s="450"/>
      <c r="DRB102" s="450"/>
      <c r="DRC102" s="450"/>
      <c r="DRD102" s="450"/>
      <c r="DRE102" s="450"/>
      <c r="DRF102" s="450"/>
      <c r="DRG102" s="450"/>
      <c r="DRH102" s="450"/>
      <c r="DRI102" s="450"/>
      <c r="DRJ102" s="450"/>
      <c r="DRK102" s="450"/>
      <c r="DRL102" s="450"/>
      <c r="DRM102" s="450"/>
      <c r="DRN102" s="450"/>
      <c r="DRO102" s="450"/>
      <c r="DRP102" s="450"/>
      <c r="DRQ102" s="450"/>
      <c r="DRR102" s="450"/>
      <c r="DRS102" s="450"/>
      <c r="DRT102" s="450"/>
      <c r="DRU102" s="450"/>
      <c r="DRV102" s="450"/>
      <c r="DRW102" s="450"/>
      <c r="DRX102" s="450"/>
      <c r="DRY102" s="450"/>
      <c r="DRZ102" s="450"/>
      <c r="DSA102" s="450"/>
      <c r="DSB102" s="450"/>
      <c r="DSC102" s="450"/>
      <c r="DSD102" s="450"/>
      <c r="DSE102" s="450"/>
      <c r="DSF102" s="450"/>
      <c r="DSG102" s="450"/>
      <c r="DSH102" s="450"/>
      <c r="DSI102" s="450"/>
      <c r="DSJ102" s="450"/>
      <c r="DSK102" s="450"/>
      <c r="DSL102" s="450"/>
      <c r="DSM102" s="450"/>
      <c r="DSN102" s="450"/>
      <c r="DSO102" s="450"/>
      <c r="DSP102" s="450"/>
      <c r="DSQ102" s="450"/>
      <c r="DSR102" s="450"/>
      <c r="DSS102" s="450"/>
      <c r="DST102" s="450"/>
      <c r="DSU102" s="450"/>
      <c r="DSV102" s="450"/>
      <c r="DSW102" s="450"/>
      <c r="DSX102" s="450"/>
      <c r="DSY102" s="450"/>
      <c r="DSZ102" s="450"/>
      <c r="DTA102" s="450"/>
      <c r="DTB102" s="450"/>
      <c r="DTC102" s="450"/>
      <c r="DTD102" s="450"/>
      <c r="DTE102" s="450"/>
      <c r="DTF102" s="450"/>
      <c r="DTG102" s="450"/>
      <c r="DTH102" s="450"/>
      <c r="DTI102" s="450"/>
      <c r="DTJ102" s="450"/>
      <c r="DTK102" s="450"/>
      <c r="DTL102" s="450"/>
      <c r="DTM102" s="450"/>
      <c r="DTN102" s="450"/>
      <c r="DTO102" s="450"/>
      <c r="DTP102" s="450"/>
      <c r="DTQ102" s="450"/>
      <c r="DTR102" s="450"/>
      <c r="DTS102" s="450"/>
      <c r="DTT102" s="450"/>
      <c r="DTU102" s="450"/>
      <c r="DTV102" s="450"/>
      <c r="DTW102" s="450"/>
      <c r="DTX102" s="450"/>
      <c r="DTY102" s="450"/>
      <c r="DTZ102" s="450"/>
      <c r="DUA102" s="450"/>
      <c r="DUB102" s="450"/>
      <c r="DUC102" s="450"/>
      <c r="DUD102" s="450"/>
      <c r="DUE102" s="450"/>
      <c r="DUF102" s="450"/>
      <c r="DUG102" s="450"/>
      <c r="DUH102" s="450"/>
      <c r="DUI102" s="450"/>
      <c r="DUJ102" s="450"/>
      <c r="DUK102" s="450"/>
      <c r="DUL102" s="450"/>
      <c r="DUM102" s="450"/>
      <c r="DUN102" s="450"/>
      <c r="DUO102" s="450"/>
      <c r="DUP102" s="450"/>
      <c r="DUQ102" s="450"/>
      <c r="DUR102" s="450"/>
      <c r="DUS102" s="450"/>
      <c r="DUT102" s="450"/>
      <c r="DUU102" s="450"/>
      <c r="DUV102" s="450"/>
      <c r="DUW102" s="450"/>
      <c r="DUX102" s="450"/>
      <c r="DUY102" s="450"/>
      <c r="DUZ102" s="450"/>
      <c r="DVA102" s="450"/>
      <c r="DVB102" s="450"/>
      <c r="DVC102" s="450"/>
      <c r="DVD102" s="450"/>
      <c r="DVE102" s="450"/>
      <c r="DVF102" s="450"/>
      <c r="DVG102" s="450"/>
      <c r="DVH102" s="450"/>
      <c r="DVI102" s="450"/>
      <c r="DVJ102" s="450"/>
      <c r="DVK102" s="450"/>
      <c r="DVL102" s="450"/>
      <c r="DVM102" s="450"/>
      <c r="DVN102" s="450"/>
      <c r="DVO102" s="450"/>
      <c r="DVP102" s="450"/>
      <c r="DVQ102" s="450"/>
      <c r="DVR102" s="450"/>
      <c r="DVS102" s="450"/>
      <c r="DVT102" s="450"/>
      <c r="DVU102" s="450"/>
      <c r="DVV102" s="450"/>
      <c r="DVW102" s="450"/>
      <c r="DVX102" s="450"/>
      <c r="DVY102" s="450"/>
      <c r="DVZ102" s="450"/>
      <c r="DWA102" s="450"/>
      <c r="DWB102" s="450"/>
      <c r="DWC102" s="450"/>
      <c r="DWD102" s="450"/>
      <c r="DWE102" s="450"/>
      <c r="DWF102" s="450"/>
      <c r="DWG102" s="450"/>
      <c r="DWH102" s="450"/>
      <c r="DWI102" s="450"/>
      <c r="DWJ102" s="450"/>
      <c r="DWK102" s="450"/>
      <c r="DWL102" s="450"/>
      <c r="DWM102" s="450"/>
      <c r="DWN102" s="450"/>
      <c r="DWO102" s="450"/>
      <c r="DWP102" s="450"/>
      <c r="DWQ102" s="450"/>
      <c r="DWR102" s="450"/>
      <c r="DWS102" s="450"/>
      <c r="DWT102" s="450"/>
      <c r="DWU102" s="450"/>
      <c r="DWV102" s="450"/>
      <c r="DWW102" s="450"/>
      <c r="DWX102" s="450"/>
      <c r="DWY102" s="450"/>
      <c r="DWZ102" s="450"/>
      <c r="DXA102" s="450"/>
      <c r="DXB102" s="450"/>
      <c r="DXC102" s="450"/>
      <c r="DXD102" s="450"/>
      <c r="DXE102" s="450"/>
      <c r="DXF102" s="450"/>
      <c r="DXG102" s="450"/>
      <c r="DXH102" s="450"/>
      <c r="DXI102" s="450"/>
      <c r="DXJ102" s="450"/>
      <c r="DXK102" s="450"/>
      <c r="DXL102" s="450"/>
      <c r="DXM102" s="450"/>
      <c r="DXN102" s="450"/>
      <c r="DXO102" s="450"/>
      <c r="DXP102" s="450"/>
      <c r="DXQ102" s="450"/>
      <c r="DXR102" s="450"/>
      <c r="DXS102" s="450"/>
      <c r="DXT102" s="450"/>
      <c r="DXU102" s="450"/>
      <c r="DXV102" s="450"/>
      <c r="DXW102" s="450"/>
      <c r="DXX102" s="450"/>
      <c r="DXY102" s="450"/>
      <c r="DXZ102" s="450"/>
      <c r="DYA102" s="450"/>
      <c r="DYB102" s="450"/>
      <c r="DYC102" s="450"/>
      <c r="DYD102" s="450"/>
      <c r="DYE102" s="450"/>
      <c r="DYF102" s="450"/>
      <c r="DYG102" s="450"/>
      <c r="DYH102" s="450"/>
      <c r="DYI102" s="450"/>
      <c r="DYJ102" s="450"/>
      <c r="DYK102" s="450"/>
      <c r="DYL102" s="450"/>
      <c r="DYM102" s="450"/>
      <c r="DYN102" s="450"/>
      <c r="DYO102" s="450"/>
      <c r="DYP102" s="450"/>
      <c r="DYQ102" s="450"/>
      <c r="DYR102" s="450"/>
      <c r="DYS102" s="450"/>
      <c r="DYT102" s="450"/>
      <c r="DYU102" s="450"/>
      <c r="DYV102" s="450"/>
      <c r="DYW102" s="450"/>
      <c r="DYX102" s="450"/>
      <c r="DYY102" s="450"/>
      <c r="DYZ102" s="450"/>
      <c r="DZA102" s="450"/>
      <c r="DZB102" s="450"/>
      <c r="DZC102" s="450"/>
      <c r="DZD102" s="450"/>
      <c r="DZE102" s="450"/>
      <c r="DZF102" s="450"/>
      <c r="DZG102" s="450"/>
      <c r="DZH102" s="450"/>
      <c r="DZI102" s="450"/>
      <c r="DZJ102" s="450"/>
      <c r="DZK102" s="450"/>
      <c r="DZL102" s="450"/>
      <c r="DZM102" s="450"/>
      <c r="DZN102" s="450"/>
      <c r="DZO102" s="450"/>
      <c r="DZP102" s="450"/>
      <c r="DZQ102" s="450"/>
      <c r="DZR102" s="450"/>
      <c r="DZS102" s="450"/>
      <c r="DZT102" s="450"/>
      <c r="DZU102" s="450"/>
      <c r="DZV102" s="450"/>
      <c r="DZW102" s="450"/>
      <c r="DZX102" s="450"/>
      <c r="DZY102" s="450"/>
      <c r="DZZ102" s="450"/>
      <c r="EAA102" s="450"/>
      <c r="EAB102" s="450"/>
      <c r="EAC102" s="450"/>
      <c r="EAD102" s="450"/>
      <c r="EAE102" s="450"/>
      <c r="EAF102" s="450"/>
      <c r="EAG102" s="450"/>
      <c r="EAH102" s="450"/>
      <c r="EAI102" s="450"/>
      <c r="EAJ102" s="450"/>
      <c r="EAK102" s="450"/>
      <c r="EAL102" s="450"/>
      <c r="EAM102" s="450"/>
      <c r="EAN102" s="450"/>
      <c r="EAO102" s="450"/>
      <c r="EAP102" s="450"/>
      <c r="EAQ102" s="450"/>
      <c r="EAR102" s="450"/>
      <c r="EAS102" s="450"/>
      <c r="EAT102" s="450"/>
      <c r="EAU102" s="450"/>
      <c r="EAV102" s="450"/>
      <c r="EAW102" s="450"/>
      <c r="EAX102" s="450"/>
      <c r="EAY102" s="450"/>
      <c r="EAZ102" s="450"/>
      <c r="EBA102" s="450"/>
      <c r="EBB102" s="450"/>
      <c r="EBC102" s="450"/>
      <c r="EBD102" s="450"/>
      <c r="EBE102" s="450"/>
      <c r="EBF102" s="450"/>
      <c r="EBG102" s="450"/>
      <c r="EBH102" s="450"/>
      <c r="EBI102" s="450"/>
      <c r="EBJ102" s="450"/>
      <c r="EBK102" s="450"/>
      <c r="EBL102" s="450"/>
      <c r="EBM102" s="450"/>
      <c r="EBN102" s="450"/>
      <c r="EBO102" s="450"/>
      <c r="EBP102" s="450"/>
      <c r="EBQ102" s="450"/>
      <c r="EBR102" s="450"/>
      <c r="EBS102" s="450"/>
      <c r="EBT102" s="450"/>
      <c r="EBU102" s="450"/>
      <c r="EBV102" s="450"/>
      <c r="EBW102" s="450"/>
      <c r="EBX102" s="450"/>
      <c r="EBY102" s="450"/>
      <c r="EBZ102" s="450"/>
      <c r="ECA102" s="450"/>
      <c r="ECB102" s="450"/>
      <c r="ECC102" s="450"/>
      <c r="ECD102" s="450"/>
      <c r="ECE102" s="450"/>
      <c r="ECF102" s="450"/>
      <c r="ECG102" s="450"/>
      <c r="ECH102" s="450"/>
      <c r="ECI102" s="450"/>
      <c r="ECJ102" s="450"/>
      <c r="ECK102" s="450"/>
      <c r="ECL102" s="450"/>
      <c r="ECM102" s="450"/>
      <c r="ECN102" s="450"/>
      <c r="ECO102" s="450"/>
      <c r="ECP102" s="450"/>
      <c r="ECQ102" s="450"/>
      <c r="ECR102" s="450"/>
      <c r="ECS102" s="450"/>
      <c r="ECT102" s="450"/>
      <c r="ECU102" s="450"/>
      <c r="ECV102" s="450"/>
      <c r="ECW102" s="450"/>
      <c r="ECX102" s="450"/>
      <c r="ECY102" s="450"/>
      <c r="ECZ102" s="450"/>
      <c r="EDA102" s="450"/>
      <c r="EDB102" s="450"/>
      <c r="EDC102" s="450"/>
      <c r="EDD102" s="450"/>
      <c r="EDE102" s="450"/>
      <c r="EDF102" s="450"/>
      <c r="EDG102" s="450"/>
      <c r="EDH102" s="450"/>
      <c r="EDI102" s="450"/>
      <c r="EDJ102" s="450"/>
      <c r="EDK102" s="450"/>
      <c r="EDL102" s="450"/>
      <c r="EDM102" s="450"/>
      <c r="EDN102" s="450"/>
      <c r="EDO102" s="450"/>
      <c r="EDP102" s="450"/>
      <c r="EDQ102" s="450"/>
      <c r="EDR102" s="450"/>
      <c r="EDS102" s="450"/>
      <c r="EDT102" s="450"/>
      <c r="EDU102" s="450"/>
      <c r="EDV102" s="450"/>
      <c r="EDW102" s="450"/>
      <c r="EDX102" s="450"/>
      <c r="EDY102" s="450"/>
      <c r="EDZ102" s="450"/>
      <c r="EEA102" s="450"/>
      <c r="EEB102" s="450"/>
      <c r="EEC102" s="450"/>
      <c r="EED102" s="450"/>
      <c r="EEE102" s="450"/>
      <c r="EEF102" s="450"/>
      <c r="EEG102" s="450"/>
      <c r="EEH102" s="450"/>
      <c r="EEI102" s="450"/>
      <c r="EEJ102" s="450"/>
      <c r="EEK102" s="450"/>
      <c r="EEL102" s="450"/>
      <c r="EEM102" s="450"/>
      <c r="EEN102" s="450"/>
      <c r="EEO102" s="450"/>
      <c r="EEP102" s="450"/>
      <c r="EEQ102" s="450"/>
      <c r="EER102" s="450"/>
      <c r="EES102" s="450"/>
      <c r="EET102" s="450"/>
      <c r="EEU102" s="450"/>
      <c r="EEV102" s="450"/>
      <c r="EEW102" s="450"/>
      <c r="EEX102" s="450"/>
      <c r="EEY102" s="450"/>
      <c r="EEZ102" s="450"/>
      <c r="EFA102" s="450"/>
      <c r="EFB102" s="450"/>
      <c r="EFC102" s="450"/>
      <c r="EFD102" s="450"/>
      <c r="EFE102" s="450"/>
      <c r="EFF102" s="450"/>
      <c r="EFG102" s="450"/>
      <c r="EFH102" s="450"/>
      <c r="EFI102" s="450"/>
      <c r="EFJ102" s="450"/>
      <c r="EFK102" s="450"/>
      <c r="EFL102" s="450"/>
      <c r="EFM102" s="450"/>
      <c r="EFN102" s="450"/>
      <c r="EFO102" s="450"/>
      <c r="EFP102" s="450"/>
      <c r="EFQ102" s="450"/>
      <c r="EFR102" s="450"/>
      <c r="EFS102" s="450"/>
      <c r="EFT102" s="450"/>
      <c r="EFU102" s="450"/>
      <c r="EFV102" s="450"/>
      <c r="EFW102" s="450"/>
      <c r="EFX102" s="450"/>
      <c r="EFY102" s="450"/>
      <c r="EFZ102" s="450"/>
      <c r="EGA102" s="450"/>
      <c r="EGB102" s="450"/>
      <c r="EGC102" s="450"/>
      <c r="EGD102" s="450"/>
      <c r="EGE102" s="450"/>
      <c r="EGF102" s="450"/>
      <c r="EGG102" s="450"/>
      <c r="EGH102" s="450"/>
      <c r="EGI102" s="450"/>
      <c r="EGJ102" s="450"/>
      <c r="EGK102" s="450"/>
      <c r="EGL102" s="450"/>
      <c r="EGM102" s="450"/>
      <c r="EGN102" s="450"/>
      <c r="EGO102" s="450"/>
      <c r="EGP102" s="450"/>
      <c r="EGQ102" s="450"/>
      <c r="EGR102" s="450"/>
      <c r="EGS102" s="450"/>
      <c r="EGT102" s="450"/>
      <c r="EGU102" s="450"/>
      <c r="EGV102" s="450"/>
      <c r="EGW102" s="450"/>
      <c r="EGX102" s="450"/>
      <c r="EGY102" s="450"/>
      <c r="EGZ102" s="450"/>
      <c r="EHA102" s="450"/>
      <c r="EHB102" s="450"/>
      <c r="EHC102" s="450"/>
      <c r="EHD102" s="450"/>
      <c r="EHE102" s="450"/>
      <c r="EHF102" s="450"/>
      <c r="EHG102" s="450"/>
      <c r="EHH102" s="450"/>
      <c r="EHI102" s="450"/>
      <c r="EHJ102" s="450"/>
      <c r="EHK102" s="450"/>
      <c r="EHL102" s="450"/>
      <c r="EHM102" s="450"/>
      <c r="EHN102" s="450"/>
      <c r="EHO102" s="450"/>
      <c r="EHP102" s="450"/>
      <c r="EHQ102" s="450"/>
      <c r="EHR102" s="450"/>
      <c r="EHS102" s="450"/>
      <c r="EHT102" s="450"/>
      <c r="EHU102" s="450"/>
      <c r="EHV102" s="450"/>
      <c r="EHW102" s="450"/>
      <c r="EHX102" s="450"/>
      <c r="EHY102" s="450"/>
      <c r="EHZ102" s="450"/>
      <c r="EIA102" s="450"/>
      <c r="EIB102" s="450"/>
      <c r="EIC102" s="450"/>
      <c r="EID102" s="450"/>
      <c r="EIE102" s="450"/>
      <c r="EIF102" s="450"/>
      <c r="EIG102" s="450"/>
      <c r="EIH102" s="450"/>
      <c r="EII102" s="450"/>
      <c r="EIJ102" s="450"/>
      <c r="EIK102" s="450"/>
      <c r="EIL102" s="450"/>
      <c r="EIM102" s="450"/>
      <c r="EIN102" s="450"/>
      <c r="EIO102" s="450"/>
      <c r="EIP102" s="450"/>
      <c r="EIQ102" s="450"/>
      <c r="EIR102" s="450"/>
      <c r="EIS102" s="450"/>
      <c r="EIT102" s="450"/>
      <c r="EIU102" s="450"/>
      <c r="EIV102" s="450"/>
      <c r="EIW102" s="450"/>
      <c r="EIX102" s="450"/>
      <c r="EIY102" s="450"/>
      <c r="EIZ102" s="450"/>
      <c r="EJA102" s="450"/>
      <c r="EJB102" s="450"/>
      <c r="EJC102" s="450"/>
      <c r="EJD102" s="450"/>
      <c r="EJE102" s="450"/>
      <c r="EJF102" s="450"/>
      <c r="EJG102" s="450"/>
      <c r="EJH102" s="450"/>
      <c r="EJI102" s="450"/>
      <c r="EJJ102" s="450"/>
      <c r="EJK102" s="450"/>
      <c r="EJL102" s="450"/>
      <c r="EJM102" s="450"/>
      <c r="EJN102" s="450"/>
      <c r="EJO102" s="450"/>
      <c r="EJP102" s="450"/>
      <c r="EJQ102" s="450"/>
      <c r="EJR102" s="450"/>
      <c r="EJS102" s="450"/>
      <c r="EJT102" s="450"/>
      <c r="EJU102" s="450"/>
      <c r="EJV102" s="450"/>
      <c r="EJW102" s="450"/>
      <c r="EJX102" s="450"/>
      <c r="EJY102" s="450"/>
      <c r="EJZ102" s="450"/>
      <c r="EKA102" s="450"/>
      <c r="EKB102" s="450"/>
      <c r="EKC102" s="450"/>
      <c r="EKD102" s="450"/>
      <c r="EKE102" s="450"/>
      <c r="EKF102" s="450"/>
      <c r="EKG102" s="450"/>
      <c r="EKH102" s="450"/>
      <c r="EKI102" s="450"/>
      <c r="EKJ102" s="450"/>
      <c r="EKK102" s="450"/>
      <c r="EKL102" s="450"/>
      <c r="EKM102" s="450"/>
      <c r="EKN102" s="450"/>
      <c r="EKO102" s="450"/>
      <c r="EKP102" s="450"/>
      <c r="EKQ102" s="450"/>
      <c r="EKR102" s="450"/>
      <c r="EKS102" s="450"/>
      <c r="EKT102" s="450"/>
      <c r="EKU102" s="450"/>
      <c r="EKV102" s="450"/>
      <c r="EKW102" s="450"/>
      <c r="EKX102" s="450"/>
      <c r="EKY102" s="450"/>
      <c r="EKZ102" s="450"/>
      <c r="ELA102" s="450"/>
      <c r="ELB102" s="450"/>
      <c r="ELC102" s="450"/>
      <c r="ELD102" s="450"/>
      <c r="ELE102" s="450"/>
      <c r="ELF102" s="450"/>
      <c r="ELG102" s="450"/>
      <c r="ELH102" s="450"/>
      <c r="ELI102" s="450"/>
      <c r="ELJ102" s="450"/>
      <c r="ELK102" s="450"/>
      <c r="ELL102" s="450"/>
      <c r="ELM102" s="450"/>
      <c r="ELN102" s="450"/>
      <c r="ELO102" s="450"/>
      <c r="ELP102" s="450"/>
      <c r="ELQ102" s="450"/>
      <c r="ELR102" s="450"/>
      <c r="ELS102" s="450"/>
      <c r="ELT102" s="450"/>
      <c r="ELU102" s="450"/>
      <c r="ELV102" s="450"/>
      <c r="ELW102" s="450"/>
      <c r="ELX102" s="450"/>
      <c r="ELY102" s="450"/>
      <c r="ELZ102" s="450"/>
      <c r="EMA102" s="450"/>
      <c r="EMB102" s="450"/>
      <c r="EMC102" s="450"/>
      <c r="EMD102" s="450"/>
      <c r="EME102" s="450"/>
      <c r="EMF102" s="450"/>
      <c r="EMG102" s="450"/>
      <c r="EMH102" s="450"/>
      <c r="EMI102" s="450"/>
      <c r="EMJ102" s="450"/>
      <c r="EMK102" s="450"/>
      <c r="EML102" s="450"/>
      <c r="EMM102" s="450"/>
      <c r="EMN102" s="450"/>
      <c r="EMO102" s="450"/>
      <c r="EMP102" s="450"/>
      <c r="EMQ102" s="450"/>
      <c r="EMR102" s="450"/>
      <c r="EMS102" s="450"/>
      <c r="EMT102" s="450"/>
      <c r="EMU102" s="450"/>
      <c r="EMV102" s="450"/>
      <c r="EMW102" s="450"/>
      <c r="EMX102" s="450"/>
      <c r="EMY102" s="450"/>
      <c r="EMZ102" s="450"/>
      <c r="ENA102" s="450"/>
      <c r="ENB102" s="450"/>
      <c r="ENC102" s="450"/>
      <c r="END102" s="450"/>
      <c r="ENE102" s="450"/>
      <c r="ENF102" s="450"/>
      <c r="ENG102" s="450"/>
      <c r="ENH102" s="450"/>
      <c r="ENI102" s="450"/>
      <c r="ENJ102" s="450"/>
      <c r="ENK102" s="450"/>
      <c r="ENL102" s="450"/>
      <c r="ENM102" s="450"/>
      <c r="ENN102" s="450"/>
      <c r="ENO102" s="450"/>
      <c r="ENP102" s="450"/>
      <c r="ENQ102" s="450"/>
      <c r="ENR102" s="450"/>
      <c r="ENS102" s="450"/>
      <c r="ENT102" s="450"/>
      <c r="ENU102" s="450"/>
      <c r="ENV102" s="450"/>
      <c r="ENW102" s="450"/>
      <c r="ENX102" s="450"/>
      <c r="ENY102" s="450"/>
      <c r="ENZ102" s="450"/>
      <c r="EOA102" s="450"/>
      <c r="EOB102" s="450"/>
      <c r="EOC102" s="450"/>
      <c r="EOD102" s="450"/>
      <c r="EOE102" s="450"/>
      <c r="EOF102" s="450"/>
      <c r="EOG102" s="450"/>
      <c r="EOH102" s="450"/>
      <c r="EOI102" s="450"/>
      <c r="EOJ102" s="450"/>
      <c r="EOK102" s="450"/>
      <c r="EOL102" s="450"/>
      <c r="EOM102" s="450"/>
      <c r="EON102" s="450"/>
      <c r="EOO102" s="450"/>
      <c r="EOP102" s="450"/>
      <c r="EOQ102" s="450"/>
      <c r="EOR102" s="450"/>
      <c r="EOS102" s="450"/>
      <c r="EOT102" s="450"/>
      <c r="EOU102" s="450"/>
      <c r="EOV102" s="450"/>
      <c r="EOW102" s="450"/>
      <c r="EOX102" s="450"/>
      <c r="EOY102" s="450"/>
      <c r="EOZ102" s="450"/>
      <c r="EPA102" s="450"/>
      <c r="EPB102" s="450"/>
      <c r="EPC102" s="450"/>
      <c r="EPD102" s="450"/>
      <c r="EPE102" s="450"/>
      <c r="EPF102" s="450"/>
      <c r="EPG102" s="450"/>
      <c r="EPH102" s="450"/>
      <c r="EPI102" s="450"/>
      <c r="EPJ102" s="450"/>
      <c r="EPK102" s="450"/>
      <c r="EPL102" s="450"/>
      <c r="EPM102" s="450"/>
      <c r="EPN102" s="450"/>
      <c r="EPO102" s="450"/>
      <c r="EPP102" s="450"/>
      <c r="EPQ102" s="450"/>
      <c r="EPR102" s="450"/>
      <c r="EPS102" s="450"/>
      <c r="EPT102" s="450"/>
      <c r="EPU102" s="450"/>
      <c r="EPV102" s="450"/>
      <c r="EPW102" s="450"/>
      <c r="EPX102" s="450"/>
      <c r="EPY102" s="450"/>
      <c r="EPZ102" s="450"/>
      <c r="EQA102" s="450"/>
      <c r="EQB102" s="450"/>
      <c r="EQC102" s="450"/>
      <c r="EQD102" s="450"/>
      <c r="EQE102" s="450"/>
      <c r="EQF102" s="450"/>
      <c r="EQG102" s="450"/>
      <c r="EQH102" s="450"/>
      <c r="EQI102" s="450"/>
      <c r="EQJ102" s="450"/>
      <c r="EQK102" s="450"/>
      <c r="EQL102" s="450"/>
      <c r="EQM102" s="450"/>
      <c r="EQN102" s="450"/>
      <c r="EQO102" s="450"/>
      <c r="EQP102" s="450"/>
      <c r="EQQ102" s="450"/>
      <c r="EQR102" s="450"/>
      <c r="EQS102" s="450"/>
      <c r="EQT102" s="450"/>
      <c r="EQU102" s="450"/>
      <c r="EQV102" s="450"/>
      <c r="EQW102" s="450"/>
      <c r="EQX102" s="450"/>
      <c r="EQY102" s="450"/>
      <c r="EQZ102" s="450"/>
      <c r="ERA102" s="450"/>
      <c r="ERB102" s="450"/>
      <c r="ERC102" s="450"/>
      <c r="ERD102" s="450"/>
      <c r="ERE102" s="450"/>
      <c r="ERF102" s="450"/>
      <c r="ERG102" s="450"/>
      <c r="ERH102" s="450"/>
      <c r="ERI102" s="450"/>
      <c r="ERJ102" s="450"/>
      <c r="ERK102" s="450"/>
      <c r="ERL102" s="450"/>
      <c r="ERM102" s="450"/>
      <c r="ERN102" s="450"/>
      <c r="ERO102" s="450"/>
      <c r="ERP102" s="450"/>
      <c r="ERQ102" s="450"/>
      <c r="ERR102" s="450"/>
      <c r="ERS102" s="450"/>
      <c r="ERT102" s="450"/>
      <c r="ERU102" s="450"/>
      <c r="ERV102" s="450"/>
      <c r="ERW102" s="450"/>
      <c r="ERX102" s="450"/>
      <c r="ERY102" s="450"/>
      <c r="ERZ102" s="450"/>
      <c r="ESA102" s="450"/>
      <c r="ESB102" s="450"/>
      <c r="ESC102" s="450"/>
      <c r="ESD102" s="450"/>
      <c r="ESE102" s="450"/>
      <c r="ESF102" s="450"/>
      <c r="ESG102" s="450"/>
      <c r="ESH102" s="450"/>
      <c r="ESI102" s="450"/>
      <c r="ESJ102" s="450"/>
      <c r="ESK102" s="450"/>
      <c r="ESL102" s="450"/>
      <c r="ESM102" s="450"/>
      <c r="ESN102" s="450"/>
      <c r="ESO102" s="450"/>
      <c r="ESP102" s="450"/>
      <c r="ESQ102" s="450"/>
      <c r="ESR102" s="450"/>
      <c r="ESS102" s="450"/>
      <c r="EST102" s="450"/>
      <c r="ESU102" s="450"/>
      <c r="ESV102" s="450"/>
      <c r="ESW102" s="450"/>
      <c r="ESX102" s="450"/>
      <c r="ESY102" s="450"/>
      <c r="ESZ102" s="450"/>
      <c r="ETA102" s="450"/>
      <c r="ETB102" s="450"/>
      <c r="ETC102" s="450"/>
      <c r="ETD102" s="450"/>
      <c r="ETE102" s="450"/>
      <c r="ETF102" s="450"/>
      <c r="ETG102" s="450"/>
      <c r="ETH102" s="450"/>
      <c r="ETI102" s="450"/>
      <c r="ETJ102" s="450"/>
      <c r="ETK102" s="450"/>
      <c r="ETL102" s="450"/>
      <c r="ETM102" s="450"/>
      <c r="ETN102" s="450"/>
      <c r="ETO102" s="450"/>
      <c r="ETP102" s="450"/>
      <c r="ETQ102" s="450"/>
      <c r="ETR102" s="450"/>
      <c r="ETS102" s="450"/>
      <c r="ETT102" s="450"/>
      <c r="ETU102" s="450"/>
      <c r="ETV102" s="450"/>
      <c r="ETW102" s="450"/>
      <c r="ETX102" s="450"/>
      <c r="ETY102" s="450"/>
      <c r="ETZ102" s="450"/>
      <c r="EUA102" s="450"/>
      <c r="EUB102" s="450"/>
      <c r="EUC102" s="450"/>
      <c r="EUD102" s="450"/>
      <c r="EUE102" s="450"/>
      <c r="EUF102" s="450"/>
      <c r="EUG102" s="450"/>
      <c r="EUH102" s="450"/>
      <c r="EUI102" s="450"/>
      <c r="EUJ102" s="450"/>
      <c r="EUK102" s="450"/>
      <c r="EUL102" s="450"/>
      <c r="EUM102" s="450"/>
      <c r="EUN102" s="450"/>
      <c r="EUO102" s="450"/>
      <c r="EUP102" s="450"/>
      <c r="EUQ102" s="450"/>
      <c r="EUR102" s="450"/>
      <c r="EUS102" s="450"/>
      <c r="EUT102" s="450"/>
      <c r="EUU102" s="450"/>
      <c r="EUV102" s="450"/>
      <c r="EUW102" s="450"/>
      <c r="EUX102" s="450"/>
      <c r="EUY102" s="450"/>
      <c r="EUZ102" s="450"/>
      <c r="EVA102" s="450"/>
      <c r="EVB102" s="450"/>
      <c r="EVC102" s="450"/>
      <c r="EVD102" s="450"/>
      <c r="EVE102" s="450"/>
      <c r="EVF102" s="450"/>
      <c r="EVG102" s="450"/>
      <c r="EVH102" s="450"/>
      <c r="EVI102" s="450"/>
      <c r="EVJ102" s="450"/>
      <c r="EVK102" s="450"/>
      <c r="EVL102" s="450"/>
      <c r="EVM102" s="450"/>
      <c r="EVN102" s="450"/>
      <c r="EVO102" s="450"/>
      <c r="EVP102" s="450"/>
      <c r="EVQ102" s="450"/>
      <c r="EVR102" s="450"/>
      <c r="EVS102" s="450"/>
      <c r="EVT102" s="450"/>
      <c r="EVU102" s="450"/>
      <c r="EVV102" s="450"/>
      <c r="EVW102" s="450"/>
      <c r="EVX102" s="450"/>
      <c r="EVY102" s="450"/>
      <c r="EVZ102" s="450"/>
      <c r="EWA102" s="450"/>
      <c r="EWB102" s="450"/>
      <c r="EWC102" s="450"/>
      <c r="EWD102" s="450"/>
      <c r="EWE102" s="450"/>
      <c r="EWF102" s="450"/>
      <c r="EWG102" s="450"/>
      <c r="EWH102" s="450"/>
      <c r="EWI102" s="450"/>
      <c r="EWJ102" s="450"/>
      <c r="EWK102" s="450"/>
      <c r="EWL102" s="450"/>
      <c r="EWM102" s="450"/>
      <c r="EWN102" s="450"/>
      <c r="EWO102" s="450"/>
      <c r="EWP102" s="450"/>
      <c r="EWQ102" s="450"/>
      <c r="EWR102" s="450"/>
      <c r="EWS102" s="450"/>
      <c r="EWT102" s="450"/>
      <c r="EWU102" s="450"/>
      <c r="EWV102" s="450"/>
      <c r="EWW102" s="450"/>
      <c r="EWX102" s="450"/>
      <c r="EWY102" s="450"/>
      <c r="EWZ102" s="450"/>
      <c r="EXA102" s="450"/>
      <c r="EXB102" s="450"/>
      <c r="EXC102" s="450"/>
      <c r="EXD102" s="450"/>
      <c r="EXE102" s="450"/>
      <c r="EXF102" s="450"/>
      <c r="EXG102" s="450"/>
      <c r="EXH102" s="450"/>
      <c r="EXI102" s="450"/>
      <c r="EXJ102" s="450"/>
      <c r="EXK102" s="450"/>
      <c r="EXL102" s="450"/>
      <c r="EXM102" s="450"/>
      <c r="EXN102" s="450"/>
      <c r="EXO102" s="450"/>
      <c r="EXP102" s="450"/>
      <c r="EXQ102" s="450"/>
      <c r="EXR102" s="450"/>
      <c r="EXS102" s="450"/>
      <c r="EXT102" s="450"/>
      <c r="EXU102" s="450"/>
      <c r="EXV102" s="450"/>
      <c r="EXW102" s="450"/>
      <c r="EXX102" s="450"/>
      <c r="EXY102" s="450"/>
      <c r="EXZ102" s="450"/>
      <c r="EYA102" s="450"/>
      <c r="EYB102" s="450"/>
      <c r="EYC102" s="450"/>
      <c r="EYD102" s="450"/>
      <c r="EYE102" s="450"/>
      <c r="EYF102" s="450"/>
      <c r="EYG102" s="450"/>
      <c r="EYH102" s="450"/>
      <c r="EYI102" s="450"/>
      <c r="EYJ102" s="450"/>
      <c r="EYK102" s="450"/>
      <c r="EYL102" s="450"/>
      <c r="EYM102" s="450"/>
      <c r="EYN102" s="450"/>
      <c r="EYO102" s="450"/>
      <c r="EYP102" s="450"/>
      <c r="EYQ102" s="450"/>
      <c r="EYR102" s="450"/>
      <c r="EYS102" s="450"/>
      <c r="EYT102" s="450"/>
      <c r="EYU102" s="450"/>
      <c r="EYV102" s="450"/>
      <c r="EYW102" s="450"/>
      <c r="EYX102" s="450"/>
      <c r="EYY102" s="450"/>
      <c r="EYZ102" s="450"/>
      <c r="EZA102" s="450"/>
      <c r="EZB102" s="450"/>
      <c r="EZC102" s="450"/>
      <c r="EZD102" s="450"/>
      <c r="EZE102" s="450"/>
      <c r="EZF102" s="450"/>
      <c r="EZG102" s="450"/>
      <c r="EZH102" s="450"/>
      <c r="EZI102" s="450"/>
      <c r="EZJ102" s="450"/>
      <c r="EZK102" s="450"/>
      <c r="EZL102" s="450"/>
      <c r="EZM102" s="450"/>
      <c r="EZN102" s="450"/>
      <c r="EZO102" s="450"/>
      <c r="EZP102" s="450"/>
      <c r="EZQ102" s="450"/>
      <c r="EZR102" s="450"/>
      <c r="EZS102" s="450"/>
      <c r="EZT102" s="450"/>
      <c r="EZU102" s="450"/>
      <c r="EZV102" s="450"/>
      <c r="EZW102" s="450"/>
      <c r="EZX102" s="450"/>
      <c r="EZY102" s="450"/>
      <c r="EZZ102" s="450"/>
      <c r="FAA102" s="450"/>
      <c r="FAB102" s="450"/>
      <c r="FAC102" s="450"/>
      <c r="FAD102" s="450"/>
      <c r="FAE102" s="450"/>
      <c r="FAF102" s="450"/>
      <c r="FAG102" s="450"/>
      <c r="FAH102" s="450"/>
      <c r="FAI102" s="450"/>
      <c r="FAJ102" s="450"/>
      <c r="FAK102" s="450"/>
      <c r="FAL102" s="450"/>
      <c r="FAM102" s="450"/>
      <c r="FAN102" s="450"/>
      <c r="FAO102" s="450"/>
      <c r="FAP102" s="450"/>
      <c r="FAQ102" s="450"/>
      <c r="FAR102" s="450"/>
      <c r="FAS102" s="450"/>
      <c r="FAT102" s="450"/>
      <c r="FAU102" s="450"/>
      <c r="FAV102" s="450"/>
      <c r="FAW102" s="450"/>
      <c r="FAX102" s="450"/>
      <c r="FAY102" s="450"/>
      <c r="FAZ102" s="450"/>
      <c r="FBA102" s="450"/>
      <c r="FBB102" s="450"/>
      <c r="FBC102" s="450"/>
      <c r="FBD102" s="450"/>
      <c r="FBE102" s="450"/>
      <c r="FBF102" s="450"/>
      <c r="FBG102" s="450"/>
      <c r="FBH102" s="450"/>
      <c r="FBI102" s="450"/>
      <c r="FBJ102" s="450"/>
      <c r="FBK102" s="450"/>
      <c r="FBL102" s="450"/>
      <c r="FBM102" s="450"/>
      <c r="FBN102" s="450"/>
      <c r="FBO102" s="450"/>
      <c r="FBP102" s="450"/>
      <c r="FBQ102" s="450"/>
      <c r="FBR102" s="450"/>
      <c r="FBS102" s="450"/>
      <c r="FBT102" s="450"/>
      <c r="FBU102" s="450"/>
      <c r="FBV102" s="450"/>
      <c r="FBW102" s="450"/>
      <c r="FBX102" s="450"/>
      <c r="FBY102" s="450"/>
      <c r="FBZ102" s="450"/>
      <c r="FCA102" s="450"/>
      <c r="FCB102" s="450"/>
      <c r="FCC102" s="450"/>
      <c r="FCD102" s="450"/>
      <c r="FCE102" s="450"/>
      <c r="FCF102" s="450"/>
      <c r="FCG102" s="450"/>
      <c r="FCH102" s="450"/>
      <c r="FCI102" s="450"/>
      <c r="FCJ102" s="450"/>
      <c r="FCK102" s="450"/>
      <c r="FCL102" s="450"/>
      <c r="FCM102" s="450"/>
      <c r="FCN102" s="450"/>
      <c r="FCO102" s="450"/>
      <c r="FCP102" s="450"/>
      <c r="FCQ102" s="450"/>
      <c r="FCR102" s="450"/>
      <c r="FCS102" s="450"/>
      <c r="FCT102" s="450"/>
      <c r="FCU102" s="450"/>
      <c r="FCV102" s="450"/>
      <c r="FCW102" s="450"/>
      <c r="FCX102" s="450"/>
      <c r="FCY102" s="450"/>
      <c r="FCZ102" s="450"/>
      <c r="FDA102" s="450"/>
      <c r="FDB102" s="450"/>
      <c r="FDC102" s="450"/>
      <c r="FDD102" s="450"/>
      <c r="FDE102" s="450"/>
      <c r="FDF102" s="450"/>
      <c r="FDG102" s="450"/>
      <c r="FDH102" s="450"/>
      <c r="FDI102" s="450"/>
      <c r="FDJ102" s="450"/>
      <c r="FDK102" s="450"/>
      <c r="FDL102" s="450"/>
      <c r="FDM102" s="450"/>
      <c r="FDN102" s="450"/>
      <c r="FDO102" s="450"/>
      <c r="FDP102" s="450"/>
      <c r="FDQ102" s="450"/>
      <c r="FDR102" s="450"/>
      <c r="FDS102" s="450"/>
      <c r="FDT102" s="450"/>
      <c r="FDU102" s="450"/>
      <c r="FDV102" s="450"/>
      <c r="FDW102" s="450"/>
      <c r="FDX102" s="450"/>
      <c r="FDY102" s="450"/>
      <c r="FDZ102" s="450"/>
      <c r="FEA102" s="450"/>
      <c r="FEB102" s="450"/>
      <c r="FEC102" s="450"/>
      <c r="FED102" s="450"/>
      <c r="FEE102" s="450"/>
      <c r="FEF102" s="450"/>
      <c r="FEG102" s="450"/>
      <c r="FEH102" s="450"/>
      <c r="FEI102" s="450"/>
      <c r="FEJ102" s="450"/>
      <c r="FEK102" s="450"/>
      <c r="FEL102" s="450"/>
      <c r="FEM102" s="450"/>
      <c r="FEN102" s="450"/>
      <c r="FEO102" s="450"/>
      <c r="FEP102" s="450"/>
      <c r="FEQ102" s="450"/>
      <c r="FER102" s="450"/>
      <c r="FES102" s="450"/>
      <c r="FET102" s="450"/>
      <c r="FEU102" s="450"/>
      <c r="FEV102" s="450"/>
      <c r="FEW102" s="450"/>
      <c r="FEX102" s="450"/>
      <c r="FEY102" s="450"/>
      <c r="FEZ102" s="450"/>
      <c r="FFA102" s="450"/>
      <c r="FFB102" s="450"/>
      <c r="FFC102" s="450"/>
      <c r="FFD102" s="450"/>
      <c r="FFE102" s="450"/>
      <c r="FFF102" s="450"/>
      <c r="FFG102" s="450"/>
      <c r="FFH102" s="450"/>
      <c r="FFI102" s="450"/>
      <c r="FFJ102" s="450"/>
      <c r="FFK102" s="450"/>
      <c r="FFL102" s="450"/>
      <c r="FFM102" s="450"/>
      <c r="FFN102" s="450"/>
      <c r="FFO102" s="450"/>
      <c r="FFP102" s="450"/>
      <c r="FFQ102" s="450"/>
      <c r="FFR102" s="450"/>
      <c r="FFS102" s="450"/>
      <c r="FFT102" s="450"/>
      <c r="FFU102" s="450"/>
      <c r="FFV102" s="450"/>
      <c r="FFW102" s="450"/>
      <c r="FFX102" s="450"/>
      <c r="FFY102" s="450"/>
      <c r="FFZ102" s="450"/>
      <c r="FGA102" s="450"/>
      <c r="FGB102" s="450"/>
      <c r="FGC102" s="450"/>
      <c r="FGD102" s="450"/>
      <c r="FGE102" s="450"/>
      <c r="FGF102" s="450"/>
      <c r="FGG102" s="450"/>
      <c r="FGH102" s="450"/>
      <c r="FGI102" s="450"/>
      <c r="FGJ102" s="450"/>
      <c r="FGK102" s="450"/>
      <c r="FGL102" s="450"/>
      <c r="FGM102" s="450"/>
      <c r="FGN102" s="450"/>
      <c r="FGO102" s="450"/>
      <c r="FGP102" s="450"/>
      <c r="FGQ102" s="450"/>
      <c r="FGR102" s="450"/>
      <c r="FGS102" s="450"/>
      <c r="FGT102" s="450"/>
      <c r="FGU102" s="450"/>
      <c r="FGV102" s="450"/>
      <c r="FGW102" s="450"/>
      <c r="FGX102" s="450"/>
      <c r="FGY102" s="450"/>
      <c r="FGZ102" s="450"/>
      <c r="FHA102" s="450"/>
      <c r="FHB102" s="450"/>
      <c r="FHC102" s="450"/>
      <c r="FHD102" s="450"/>
      <c r="FHE102" s="450"/>
      <c r="FHF102" s="450"/>
      <c r="FHG102" s="450"/>
      <c r="FHH102" s="450"/>
      <c r="FHI102" s="450"/>
      <c r="FHJ102" s="450"/>
      <c r="FHK102" s="450"/>
      <c r="FHL102" s="450"/>
      <c r="FHM102" s="450"/>
      <c r="FHN102" s="450"/>
      <c r="FHO102" s="450"/>
      <c r="FHP102" s="450"/>
      <c r="FHQ102" s="450"/>
      <c r="FHR102" s="450"/>
      <c r="FHS102" s="450"/>
      <c r="FHT102" s="450"/>
      <c r="FHU102" s="450"/>
      <c r="FHV102" s="450"/>
      <c r="FHW102" s="450"/>
      <c r="FHX102" s="450"/>
      <c r="FHY102" s="450"/>
      <c r="FHZ102" s="450"/>
      <c r="FIA102" s="450"/>
      <c r="FIB102" s="450"/>
      <c r="FIC102" s="450"/>
      <c r="FID102" s="450"/>
      <c r="FIE102" s="450"/>
      <c r="FIF102" s="450"/>
      <c r="FIG102" s="450"/>
      <c r="FIH102" s="450"/>
      <c r="FII102" s="450"/>
      <c r="FIJ102" s="450"/>
      <c r="FIK102" s="450"/>
      <c r="FIL102" s="450"/>
      <c r="FIM102" s="450"/>
      <c r="FIN102" s="450"/>
      <c r="FIO102" s="450"/>
      <c r="FIP102" s="450"/>
      <c r="FIQ102" s="450"/>
      <c r="FIR102" s="450"/>
      <c r="FIS102" s="450"/>
      <c r="FIT102" s="450"/>
      <c r="FIU102" s="450"/>
      <c r="FIV102" s="450"/>
      <c r="FIW102" s="450"/>
      <c r="FIX102" s="450"/>
      <c r="FIY102" s="450"/>
      <c r="FIZ102" s="450"/>
      <c r="FJA102" s="450"/>
      <c r="FJB102" s="450"/>
      <c r="FJC102" s="450"/>
      <c r="FJD102" s="450"/>
      <c r="FJE102" s="450"/>
      <c r="FJF102" s="450"/>
      <c r="FJG102" s="450"/>
      <c r="FJH102" s="450"/>
      <c r="FJI102" s="450"/>
      <c r="FJJ102" s="450"/>
      <c r="FJK102" s="450"/>
      <c r="FJL102" s="450"/>
      <c r="FJM102" s="450"/>
      <c r="FJN102" s="450"/>
      <c r="FJO102" s="450"/>
      <c r="FJP102" s="450"/>
      <c r="FJQ102" s="450"/>
      <c r="FJR102" s="450"/>
      <c r="FJS102" s="450"/>
      <c r="FJT102" s="450"/>
      <c r="FJU102" s="450"/>
      <c r="FJV102" s="450"/>
      <c r="FJW102" s="450"/>
      <c r="FJX102" s="450"/>
      <c r="FJY102" s="450"/>
      <c r="FJZ102" s="450"/>
      <c r="FKA102" s="450"/>
      <c r="FKB102" s="450"/>
      <c r="FKC102" s="450"/>
      <c r="FKD102" s="450"/>
      <c r="FKE102" s="450"/>
      <c r="FKF102" s="450"/>
      <c r="FKG102" s="450"/>
      <c r="FKH102" s="450"/>
      <c r="FKI102" s="450"/>
      <c r="FKJ102" s="450"/>
      <c r="FKK102" s="450"/>
      <c r="FKL102" s="450"/>
      <c r="FKM102" s="450"/>
      <c r="FKN102" s="450"/>
      <c r="FKO102" s="450"/>
      <c r="FKP102" s="450"/>
      <c r="FKQ102" s="450"/>
      <c r="FKR102" s="450"/>
      <c r="FKS102" s="450"/>
      <c r="FKT102" s="450"/>
      <c r="FKU102" s="450"/>
      <c r="FKV102" s="450"/>
      <c r="FKW102" s="450"/>
      <c r="FKX102" s="450"/>
      <c r="FKY102" s="450"/>
      <c r="FKZ102" s="450"/>
      <c r="FLA102" s="450"/>
      <c r="FLB102" s="450"/>
      <c r="FLC102" s="450"/>
      <c r="FLD102" s="450"/>
      <c r="FLE102" s="450"/>
      <c r="FLF102" s="450"/>
      <c r="FLG102" s="450"/>
      <c r="FLH102" s="450"/>
      <c r="FLI102" s="450"/>
      <c r="FLJ102" s="450"/>
      <c r="FLK102" s="450"/>
      <c r="FLL102" s="450"/>
      <c r="FLM102" s="450"/>
      <c r="FLN102" s="450"/>
      <c r="FLO102" s="450"/>
      <c r="FLP102" s="450"/>
      <c r="FLQ102" s="450"/>
      <c r="FLR102" s="450"/>
      <c r="FLS102" s="450"/>
      <c r="FLT102" s="450"/>
      <c r="FLU102" s="450"/>
      <c r="FLV102" s="450"/>
      <c r="FLW102" s="450"/>
      <c r="FLX102" s="450"/>
      <c r="FLY102" s="450"/>
      <c r="FLZ102" s="450"/>
      <c r="FMA102" s="450"/>
      <c r="FMB102" s="450"/>
      <c r="FMC102" s="450"/>
      <c r="FMD102" s="450"/>
      <c r="FME102" s="450"/>
      <c r="FMF102" s="450"/>
      <c r="FMG102" s="450"/>
      <c r="FMH102" s="450"/>
      <c r="FMI102" s="450"/>
      <c r="FMJ102" s="450"/>
      <c r="FMK102" s="450"/>
      <c r="FML102" s="450"/>
      <c r="FMM102" s="450"/>
      <c r="FMN102" s="450"/>
      <c r="FMO102" s="450"/>
      <c r="FMP102" s="450"/>
      <c r="FMQ102" s="450"/>
      <c r="FMR102" s="450"/>
      <c r="FMS102" s="450"/>
      <c r="FMT102" s="450"/>
      <c r="FMU102" s="450"/>
      <c r="FMV102" s="450"/>
      <c r="FMW102" s="450"/>
      <c r="FMX102" s="450"/>
      <c r="FMY102" s="450"/>
      <c r="FMZ102" s="450"/>
      <c r="FNA102" s="450"/>
      <c r="FNB102" s="450"/>
      <c r="FNC102" s="450"/>
      <c r="FND102" s="450"/>
      <c r="FNE102" s="450"/>
      <c r="FNF102" s="450"/>
      <c r="FNG102" s="450"/>
      <c r="FNH102" s="450"/>
      <c r="FNI102" s="450"/>
      <c r="FNJ102" s="450"/>
      <c r="FNK102" s="450"/>
      <c r="FNL102" s="450"/>
      <c r="FNM102" s="450"/>
      <c r="FNN102" s="450"/>
      <c r="FNO102" s="450"/>
      <c r="FNP102" s="450"/>
      <c r="FNQ102" s="450"/>
      <c r="FNR102" s="450"/>
      <c r="FNS102" s="450"/>
      <c r="FNT102" s="450"/>
      <c r="FNU102" s="450"/>
      <c r="FNV102" s="450"/>
      <c r="FNW102" s="450"/>
      <c r="FNX102" s="450"/>
      <c r="FNY102" s="450"/>
      <c r="FNZ102" s="450"/>
      <c r="FOA102" s="450"/>
      <c r="FOB102" s="450"/>
      <c r="FOC102" s="450"/>
      <c r="FOD102" s="450"/>
      <c r="FOE102" s="450"/>
      <c r="FOF102" s="450"/>
      <c r="FOG102" s="450"/>
      <c r="FOH102" s="450"/>
      <c r="FOI102" s="450"/>
      <c r="FOJ102" s="450"/>
      <c r="FOK102" s="450"/>
      <c r="FOL102" s="450"/>
      <c r="FOM102" s="450"/>
      <c r="FON102" s="450"/>
      <c r="FOO102" s="450"/>
      <c r="FOP102" s="450"/>
      <c r="FOQ102" s="450"/>
      <c r="FOR102" s="450"/>
      <c r="FOS102" s="450"/>
      <c r="FOT102" s="450"/>
      <c r="FOU102" s="450"/>
      <c r="FOV102" s="450"/>
      <c r="FOW102" s="450"/>
      <c r="FOX102" s="450"/>
      <c r="FOY102" s="450"/>
      <c r="FOZ102" s="450"/>
      <c r="FPA102" s="450"/>
      <c r="FPB102" s="450"/>
      <c r="FPC102" s="450"/>
      <c r="FPD102" s="450"/>
      <c r="FPE102" s="450"/>
      <c r="FPF102" s="450"/>
      <c r="FPG102" s="450"/>
      <c r="FPH102" s="450"/>
      <c r="FPI102" s="450"/>
      <c r="FPJ102" s="450"/>
      <c r="FPK102" s="450"/>
      <c r="FPL102" s="450"/>
      <c r="FPM102" s="450"/>
      <c r="FPN102" s="450"/>
      <c r="FPO102" s="450"/>
      <c r="FPP102" s="450"/>
      <c r="FPQ102" s="450"/>
      <c r="FPR102" s="450"/>
      <c r="FPS102" s="450"/>
      <c r="FPT102" s="450"/>
      <c r="FPU102" s="450"/>
      <c r="FPV102" s="450"/>
      <c r="FPW102" s="450"/>
      <c r="FPX102" s="450"/>
      <c r="FPY102" s="450"/>
      <c r="FPZ102" s="450"/>
      <c r="FQA102" s="450"/>
      <c r="FQB102" s="450"/>
      <c r="FQC102" s="450"/>
      <c r="FQD102" s="450"/>
      <c r="FQE102" s="450"/>
      <c r="FQF102" s="450"/>
      <c r="FQG102" s="450"/>
      <c r="FQH102" s="450"/>
      <c r="FQI102" s="450"/>
      <c r="FQJ102" s="450"/>
      <c r="FQK102" s="450"/>
      <c r="FQL102" s="450"/>
      <c r="FQM102" s="450"/>
      <c r="FQN102" s="450"/>
      <c r="FQO102" s="450"/>
      <c r="FQP102" s="450"/>
      <c r="FQQ102" s="450"/>
      <c r="FQR102" s="450"/>
      <c r="FQS102" s="450"/>
      <c r="FQT102" s="450"/>
      <c r="FQU102" s="450"/>
      <c r="FQV102" s="450"/>
      <c r="FQW102" s="450"/>
      <c r="FQX102" s="450"/>
      <c r="FQY102" s="450"/>
      <c r="FQZ102" s="450"/>
      <c r="FRA102" s="450"/>
      <c r="FRB102" s="450"/>
      <c r="FRC102" s="450"/>
      <c r="FRD102" s="450"/>
      <c r="FRE102" s="450"/>
      <c r="FRF102" s="450"/>
      <c r="FRG102" s="450"/>
      <c r="FRH102" s="450"/>
      <c r="FRI102" s="450"/>
      <c r="FRJ102" s="450"/>
      <c r="FRK102" s="450"/>
      <c r="FRL102" s="450"/>
      <c r="FRM102" s="450"/>
      <c r="FRN102" s="450"/>
      <c r="FRO102" s="450"/>
      <c r="FRP102" s="450"/>
      <c r="FRQ102" s="450"/>
      <c r="FRR102" s="450"/>
      <c r="FRS102" s="450"/>
      <c r="FRT102" s="450"/>
      <c r="FRU102" s="450"/>
      <c r="FRV102" s="450"/>
      <c r="FRW102" s="450"/>
      <c r="FRX102" s="450"/>
      <c r="FRY102" s="450"/>
      <c r="FRZ102" s="450"/>
      <c r="FSA102" s="450"/>
      <c r="FSB102" s="450"/>
      <c r="FSC102" s="450"/>
      <c r="FSD102" s="450"/>
      <c r="FSE102" s="450"/>
      <c r="FSF102" s="450"/>
      <c r="FSG102" s="450"/>
      <c r="FSH102" s="450"/>
      <c r="FSI102" s="450"/>
      <c r="FSJ102" s="450"/>
      <c r="FSK102" s="450"/>
      <c r="FSL102" s="450"/>
      <c r="FSM102" s="450"/>
      <c r="FSN102" s="450"/>
      <c r="FSO102" s="450"/>
      <c r="FSP102" s="450"/>
      <c r="FSQ102" s="450"/>
      <c r="FSR102" s="450"/>
      <c r="FSS102" s="450"/>
      <c r="FST102" s="450"/>
      <c r="FSU102" s="450"/>
      <c r="FSV102" s="450"/>
      <c r="FSW102" s="450"/>
      <c r="FSX102" s="450"/>
      <c r="FSY102" s="450"/>
      <c r="FSZ102" s="450"/>
      <c r="FTA102" s="450"/>
      <c r="FTB102" s="450"/>
      <c r="FTC102" s="450"/>
      <c r="FTD102" s="450"/>
      <c r="FTE102" s="450"/>
      <c r="FTF102" s="450"/>
      <c r="FTG102" s="450"/>
      <c r="FTH102" s="450"/>
      <c r="FTI102" s="450"/>
      <c r="FTJ102" s="450"/>
      <c r="FTK102" s="450"/>
      <c r="FTL102" s="450"/>
      <c r="FTM102" s="450"/>
      <c r="FTN102" s="450"/>
      <c r="FTO102" s="450"/>
      <c r="FTP102" s="450"/>
      <c r="FTQ102" s="450"/>
      <c r="FTR102" s="450"/>
      <c r="FTS102" s="450"/>
      <c r="FTT102" s="450"/>
      <c r="FTU102" s="450"/>
      <c r="FTV102" s="450"/>
      <c r="FTW102" s="450"/>
      <c r="FTX102" s="450"/>
      <c r="FTY102" s="450"/>
      <c r="FTZ102" s="450"/>
      <c r="FUA102" s="450"/>
      <c r="FUB102" s="450"/>
      <c r="FUC102" s="450"/>
      <c r="FUD102" s="450"/>
      <c r="FUE102" s="450"/>
      <c r="FUF102" s="450"/>
      <c r="FUG102" s="450"/>
      <c r="FUH102" s="450"/>
      <c r="FUI102" s="450"/>
      <c r="FUJ102" s="450"/>
      <c r="FUK102" s="450"/>
      <c r="FUL102" s="450"/>
      <c r="FUM102" s="450"/>
      <c r="FUN102" s="450"/>
      <c r="FUO102" s="450"/>
      <c r="FUP102" s="450"/>
      <c r="FUQ102" s="450"/>
      <c r="FUR102" s="450"/>
      <c r="FUS102" s="450"/>
      <c r="FUT102" s="450"/>
      <c r="FUU102" s="450"/>
      <c r="FUV102" s="450"/>
      <c r="FUW102" s="450"/>
      <c r="FUX102" s="450"/>
      <c r="FUY102" s="450"/>
      <c r="FUZ102" s="450"/>
      <c r="FVA102" s="450"/>
      <c r="FVB102" s="450"/>
      <c r="FVC102" s="450"/>
      <c r="FVD102" s="450"/>
      <c r="FVE102" s="450"/>
      <c r="FVF102" s="450"/>
      <c r="FVG102" s="450"/>
      <c r="FVH102" s="450"/>
      <c r="FVI102" s="450"/>
      <c r="FVJ102" s="450"/>
      <c r="FVK102" s="450"/>
      <c r="FVL102" s="450"/>
      <c r="FVM102" s="450"/>
      <c r="FVN102" s="450"/>
      <c r="FVO102" s="450"/>
      <c r="FVP102" s="450"/>
      <c r="FVQ102" s="450"/>
      <c r="FVR102" s="450"/>
      <c r="FVS102" s="450"/>
      <c r="FVT102" s="450"/>
      <c r="FVU102" s="450"/>
      <c r="FVV102" s="450"/>
      <c r="FVW102" s="450"/>
      <c r="FVX102" s="450"/>
      <c r="FVY102" s="450"/>
      <c r="FVZ102" s="450"/>
      <c r="FWA102" s="450"/>
      <c r="FWB102" s="450"/>
      <c r="FWC102" s="450"/>
      <c r="FWD102" s="450"/>
      <c r="FWE102" s="450"/>
      <c r="FWF102" s="450"/>
      <c r="FWG102" s="450"/>
      <c r="FWH102" s="450"/>
      <c r="FWI102" s="450"/>
      <c r="FWJ102" s="450"/>
      <c r="FWK102" s="450"/>
      <c r="FWL102" s="450"/>
      <c r="FWM102" s="450"/>
      <c r="FWN102" s="450"/>
      <c r="FWO102" s="450"/>
      <c r="FWP102" s="450"/>
      <c r="FWQ102" s="450"/>
      <c r="FWR102" s="450"/>
      <c r="FWS102" s="450"/>
      <c r="FWT102" s="450"/>
      <c r="FWU102" s="450"/>
      <c r="FWV102" s="450"/>
      <c r="FWW102" s="450"/>
      <c r="FWX102" s="450"/>
      <c r="FWY102" s="450"/>
      <c r="FWZ102" s="450"/>
      <c r="FXA102" s="450"/>
      <c r="FXB102" s="450"/>
      <c r="FXC102" s="450"/>
      <c r="FXD102" s="450"/>
      <c r="FXE102" s="450"/>
      <c r="FXF102" s="450"/>
      <c r="FXG102" s="450"/>
      <c r="FXH102" s="450"/>
      <c r="FXI102" s="450"/>
      <c r="FXJ102" s="450"/>
      <c r="FXK102" s="450"/>
      <c r="FXL102" s="450"/>
      <c r="FXM102" s="450"/>
      <c r="FXN102" s="450"/>
      <c r="FXO102" s="450"/>
      <c r="FXP102" s="450"/>
      <c r="FXQ102" s="450"/>
      <c r="FXR102" s="450"/>
      <c r="FXS102" s="450"/>
      <c r="FXT102" s="450"/>
      <c r="FXU102" s="450"/>
      <c r="FXV102" s="450"/>
      <c r="FXW102" s="450"/>
      <c r="FXX102" s="450"/>
      <c r="FXY102" s="450"/>
      <c r="FXZ102" s="450"/>
      <c r="FYA102" s="450"/>
      <c r="FYB102" s="450"/>
      <c r="FYC102" s="450"/>
      <c r="FYD102" s="450"/>
      <c r="FYE102" s="450"/>
      <c r="FYF102" s="450"/>
      <c r="FYG102" s="450"/>
      <c r="FYH102" s="450"/>
      <c r="FYI102" s="450"/>
      <c r="FYJ102" s="450"/>
      <c r="FYK102" s="450"/>
      <c r="FYL102" s="450"/>
      <c r="FYM102" s="450"/>
      <c r="FYN102" s="450"/>
      <c r="FYO102" s="450"/>
      <c r="FYP102" s="450"/>
      <c r="FYQ102" s="450"/>
      <c r="FYR102" s="450"/>
      <c r="FYS102" s="450"/>
      <c r="FYT102" s="450"/>
      <c r="FYU102" s="450"/>
      <c r="FYV102" s="450"/>
      <c r="FYW102" s="450"/>
      <c r="FYX102" s="450"/>
      <c r="FYY102" s="450"/>
      <c r="FYZ102" s="450"/>
      <c r="FZA102" s="450"/>
      <c r="FZB102" s="450"/>
      <c r="FZC102" s="450"/>
      <c r="FZD102" s="450"/>
      <c r="FZE102" s="450"/>
      <c r="FZF102" s="450"/>
      <c r="FZG102" s="450"/>
      <c r="FZH102" s="450"/>
      <c r="FZI102" s="450"/>
      <c r="FZJ102" s="450"/>
      <c r="FZK102" s="450"/>
      <c r="FZL102" s="450"/>
      <c r="FZM102" s="450"/>
      <c r="FZN102" s="450"/>
      <c r="FZO102" s="450"/>
      <c r="FZP102" s="450"/>
      <c r="FZQ102" s="450"/>
      <c r="FZR102" s="450"/>
      <c r="FZS102" s="450"/>
      <c r="FZT102" s="450"/>
      <c r="FZU102" s="450"/>
      <c r="FZV102" s="450"/>
      <c r="FZW102" s="450"/>
      <c r="FZX102" s="450"/>
      <c r="FZY102" s="450"/>
      <c r="FZZ102" s="450"/>
      <c r="GAA102" s="450"/>
      <c r="GAB102" s="450"/>
      <c r="GAC102" s="450"/>
      <c r="GAD102" s="450"/>
      <c r="GAE102" s="450"/>
      <c r="GAF102" s="450"/>
      <c r="GAG102" s="450"/>
      <c r="GAH102" s="450"/>
      <c r="GAI102" s="450"/>
      <c r="GAJ102" s="450"/>
      <c r="GAK102" s="450"/>
      <c r="GAL102" s="450"/>
      <c r="GAM102" s="450"/>
      <c r="GAN102" s="450"/>
      <c r="GAO102" s="450"/>
      <c r="GAP102" s="450"/>
      <c r="GAQ102" s="450"/>
      <c r="GAR102" s="450"/>
      <c r="GAS102" s="450"/>
      <c r="GAT102" s="450"/>
      <c r="GAU102" s="450"/>
      <c r="GAV102" s="450"/>
      <c r="GAW102" s="450"/>
      <c r="GAX102" s="450"/>
      <c r="GAY102" s="450"/>
      <c r="GAZ102" s="450"/>
      <c r="GBA102" s="450"/>
      <c r="GBB102" s="450"/>
      <c r="GBC102" s="450"/>
      <c r="GBD102" s="450"/>
      <c r="GBE102" s="450"/>
      <c r="GBF102" s="450"/>
      <c r="GBG102" s="450"/>
      <c r="GBH102" s="450"/>
      <c r="GBI102" s="450"/>
      <c r="GBJ102" s="450"/>
      <c r="GBK102" s="450"/>
      <c r="GBL102" s="450"/>
      <c r="GBM102" s="450"/>
      <c r="GBN102" s="450"/>
      <c r="GBO102" s="450"/>
      <c r="GBP102" s="450"/>
      <c r="GBQ102" s="450"/>
      <c r="GBR102" s="450"/>
      <c r="GBS102" s="450"/>
      <c r="GBT102" s="450"/>
      <c r="GBU102" s="450"/>
      <c r="GBV102" s="450"/>
      <c r="GBW102" s="450"/>
      <c r="GBX102" s="450"/>
      <c r="GBY102" s="450"/>
      <c r="GBZ102" s="450"/>
      <c r="GCA102" s="450"/>
      <c r="GCB102" s="450"/>
      <c r="GCC102" s="450"/>
      <c r="GCD102" s="450"/>
      <c r="GCE102" s="450"/>
      <c r="GCF102" s="450"/>
      <c r="GCG102" s="450"/>
      <c r="GCH102" s="450"/>
      <c r="GCI102" s="450"/>
      <c r="GCJ102" s="450"/>
      <c r="GCK102" s="450"/>
      <c r="GCL102" s="450"/>
      <c r="GCM102" s="450"/>
      <c r="GCN102" s="450"/>
      <c r="GCO102" s="450"/>
      <c r="GCP102" s="450"/>
      <c r="GCQ102" s="450"/>
      <c r="GCR102" s="450"/>
      <c r="GCS102" s="450"/>
      <c r="GCT102" s="450"/>
      <c r="GCU102" s="450"/>
      <c r="GCV102" s="450"/>
      <c r="GCW102" s="450"/>
      <c r="GCX102" s="450"/>
      <c r="GCY102" s="450"/>
      <c r="GCZ102" s="450"/>
      <c r="GDA102" s="450"/>
      <c r="GDB102" s="450"/>
      <c r="GDC102" s="450"/>
      <c r="GDD102" s="450"/>
      <c r="GDE102" s="450"/>
      <c r="GDF102" s="450"/>
      <c r="GDG102" s="450"/>
      <c r="GDH102" s="450"/>
      <c r="GDI102" s="450"/>
      <c r="GDJ102" s="450"/>
      <c r="GDK102" s="450"/>
      <c r="GDL102" s="450"/>
      <c r="GDM102" s="450"/>
      <c r="GDN102" s="450"/>
      <c r="GDO102" s="450"/>
      <c r="GDP102" s="450"/>
      <c r="GDQ102" s="450"/>
      <c r="GDR102" s="450"/>
      <c r="GDS102" s="450"/>
      <c r="GDT102" s="450"/>
      <c r="GDU102" s="450"/>
      <c r="GDV102" s="450"/>
      <c r="GDW102" s="450"/>
      <c r="GDX102" s="450"/>
      <c r="GDY102" s="450"/>
      <c r="GDZ102" s="450"/>
      <c r="GEA102" s="450"/>
      <c r="GEB102" s="450"/>
      <c r="GEC102" s="450"/>
      <c r="GED102" s="450"/>
      <c r="GEE102" s="450"/>
      <c r="GEF102" s="450"/>
      <c r="GEG102" s="450"/>
      <c r="GEH102" s="450"/>
      <c r="GEI102" s="450"/>
      <c r="GEJ102" s="450"/>
      <c r="GEK102" s="450"/>
      <c r="GEL102" s="450"/>
      <c r="GEM102" s="450"/>
      <c r="GEN102" s="450"/>
      <c r="GEO102" s="450"/>
      <c r="GEP102" s="450"/>
      <c r="GEQ102" s="450"/>
      <c r="GER102" s="450"/>
      <c r="GES102" s="450"/>
      <c r="GET102" s="450"/>
      <c r="GEU102" s="450"/>
      <c r="GEV102" s="450"/>
      <c r="GEW102" s="450"/>
      <c r="GEX102" s="450"/>
      <c r="GEY102" s="450"/>
      <c r="GEZ102" s="450"/>
      <c r="GFA102" s="450"/>
      <c r="GFB102" s="450"/>
      <c r="GFC102" s="450"/>
      <c r="GFD102" s="450"/>
      <c r="GFE102" s="450"/>
      <c r="GFF102" s="450"/>
      <c r="GFG102" s="450"/>
      <c r="GFH102" s="450"/>
      <c r="GFI102" s="450"/>
      <c r="GFJ102" s="450"/>
      <c r="GFK102" s="450"/>
      <c r="GFL102" s="450"/>
      <c r="GFM102" s="450"/>
      <c r="GFN102" s="450"/>
      <c r="GFO102" s="450"/>
      <c r="GFP102" s="450"/>
      <c r="GFQ102" s="450"/>
      <c r="GFR102" s="450"/>
      <c r="GFS102" s="450"/>
      <c r="GFT102" s="450"/>
      <c r="GFU102" s="450"/>
      <c r="GFV102" s="450"/>
      <c r="GFW102" s="450"/>
      <c r="GFX102" s="450"/>
      <c r="GFY102" s="450"/>
      <c r="GFZ102" s="450"/>
      <c r="GGA102" s="450"/>
      <c r="GGB102" s="450"/>
      <c r="GGC102" s="450"/>
      <c r="GGD102" s="450"/>
      <c r="GGE102" s="450"/>
      <c r="GGF102" s="450"/>
      <c r="GGG102" s="450"/>
      <c r="GGH102" s="450"/>
      <c r="GGI102" s="450"/>
      <c r="GGJ102" s="450"/>
      <c r="GGK102" s="450"/>
      <c r="GGL102" s="450"/>
      <c r="GGM102" s="450"/>
      <c r="GGN102" s="450"/>
      <c r="GGO102" s="450"/>
      <c r="GGP102" s="450"/>
      <c r="GGQ102" s="450"/>
      <c r="GGR102" s="450"/>
      <c r="GGS102" s="450"/>
      <c r="GGT102" s="450"/>
      <c r="GGU102" s="450"/>
      <c r="GGV102" s="450"/>
      <c r="GGW102" s="450"/>
      <c r="GGX102" s="450"/>
      <c r="GGY102" s="450"/>
      <c r="GGZ102" s="450"/>
      <c r="GHA102" s="450"/>
      <c r="GHB102" s="450"/>
      <c r="GHC102" s="450"/>
      <c r="GHD102" s="450"/>
      <c r="GHE102" s="450"/>
      <c r="GHF102" s="450"/>
      <c r="GHG102" s="450"/>
      <c r="GHH102" s="450"/>
      <c r="GHI102" s="450"/>
      <c r="GHJ102" s="450"/>
      <c r="GHK102" s="450"/>
      <c r="GHL102" s="450"/>
      <c r="GHM102" s="450"/>
      <c r="GHN102" s="450"/>
      <c r="GHO102" s="450"/>
      <c r="GHP102" s="450"/>
      <c r="GHQ102" s="450"/>
      <c r="GHR102" s="450"/>
      <c r="GHS102" s="450"/>
      <c r="GHT102" s="450"/>
      <c r="GHU102" s="450"/>
      <c r="GHV102" s="450"/>
      <c r="GHW102" s="450"/>
      <c r="GHX102" s="450"/>
      <c r="GHY102" s="450"/>
      <c r="GHZ102" s="450"/>
      <c r="GIA102" s="450"/>
      <c r="GIB102" s="450"/>
      <c r="GIC102" s="450"/>
      <c r="GID102" s="450"/>
      <c r="GIE102" s="450"/>
      <c r="GIF102" s="450"/>
      <c r="GIG102" s="450"/>
      <c r="GIH102" s="450"/>
      <c r="GII102" s="450"/>
      <c r="GIJ102" s="450"/>
      <c r="GIK102" s="450"/>
      <c r="GIL102" s="450"/>
      <c r="GIM102" s="450"/>
      <c r="GIN102" s="450"/>
      <c r="GIO102" s="450"/>
      <c r="GIP102" s="450"/>
      <c r="GIQ102" s="450"/>
      <c r="GIR102" s="450"/>
      <c r="GIS102" s="450"/>
      <c r="GIT102" s="450"/>
      <c r="GIU102" s="450"/>
      <c r="GIV102" s="450"/>
      <c r="GIW102" s="450"/>
      <c r="GIX102" s="450"/>
      <c r="GIY102" s="450"/>
      <c r="GIZ102" s="450"/>
      <c r="GJA102" s="450"/>
      <c r="GJB102" s="450"/>
      <c r="GJC102" s="450"/>
      <c r="GJD102" s="450"/>
      <c r="GJE102" s="450"/>
      <c r="GJF102" s="450"/>
      <c r="GJG102" s="450"/>
      <c r="GJH102" s="450"/>
      <c r="GJI102" s="450"/>
      <c r="GJJ102" s="450"/>
      <c r="GJK102" s="450"/>
      <c r="GJL102" s="450"/>
      <c r="GJM102" s="450"/>
      <c r="GJN102" s="450"/>
      <c r="GJO102" s="450"/>
      <c r="GJP102" s="450"/>
      <c r="GJQ102" s="450"/>
      <c r="GJR102" s="450"/>
      <c r="GJS102" s="450"/>
      <c r="GJT102" s="450"/>
      <c r="GJU102" s="450"/>
      <c r="GJV102" s="450"/>
      <c r="GJW102" s="450"/>
      <c r="GJX102" s="450"/>
      <c r="GJY102" s="450"/>
      <c r="GJZ102" s="450"/>
      <c r="GKA102" s="450"/>
      <c r="GKB102" s="450"/>
      <c r="GKC102" s="450"/>
      <c r="GKD102" s="450"/>
      <c r="GKE102" s="450"/>
      <c r="GKF102" s="450"/>
      <c r="GKG102" s="450"/>
      <c r="GKH102" s="450"/>
      <c r="GKI102" s="450"/>
      <c r="GKJ102" s="450"/>
      <c r="GKK102" s="450"/>
      <c r="GKL102" s="450"/>
      <c r="GKM102" s="450"/>
      <c r="GKN102" s="450"/>
      <c r="GKO102" s="450"/>
      <c r="GKP102" s="450"/>
      <c r="GKQ102" s="450"/>
      <c r="GKR102" s="450"/>
      <c r="GKS102" s="450"/>
      <c r="GKT102" s="450"/>
      <c r="GKU102" s="450"/>
      <c r="GKV102" s="450"/>
      <c r="GKW102" s="450"/>
      <c r="GKX102" s="450"/>
      <c r="GKY102" s="450"/>
      <c r="GKZ102" s="450"/>
      <c r="GLA102" s="450"/>
      <c r="GLB102" s="450"/>
      <c r="GLC102" s="450"/>
      <c r="GLD102" s="450"/>
      <c r="GLE102" s="450"/>
      <c r="GLF102" s="450"/>
      <c r="GLG102" s="450"/>
      <c r="GLH102" s="450"/>
      <c r="GLI102" s="450"/>
      <c r="GLJ102" s="450"/>
      <c r="GLK102" s="450"/>
      <c r="GLL102" s="450"/>
      <c r="GLM102" s="450"/>
      <c r="GLN102" s="450"/>
      <c r="GLO102" s="450"/>
      <c r="GLP102" s="450"/>
      <c r="GLQ102" s="450"/>
      <c r="GLR102" s="450"/>
      <c r="GLS102" s="450"/>
      <c r="GLT102" s="450"/>
      <c r="GLU102" s="450"/>
      <c r="GLV102" s="450"/>
      <c r="GLW102" s="450"/>
      <c r="GLX102" s="450"/>
      <c r="GLY102" s="450"/>
      <c r="GLZ102" s="450"/>
      <c r="GMA102" s="450"/>
      <c r="GMB102" s="450"/>
      <c r="GMC102" s="450"/>
      <c r="GMD102" s="450"/>
      <c r="GME102" s="450"/>
      <c r="GMF102" s="450"/>
      <c r="GMG102" s="450"/>
      <c r="GMH102" s="450"/>
      <c r="GMI102" s="450"/>
      <c r="GMJ102" s="450"/>
      <c r="GMK102" s="450"/>
      <c r="GML102" s="450"/>
      <c r="GMM102" s="450"/>
      <c r="GMN102" s="450"/>
      <c r="GMO102" s="450"/>
      <c r="GMP102" s="450"/>
      <c r="GMQ102" s="450"/>
      <c r="GMR102" s="450"/>
      <c r="GMS102" s="450"/>
      <c r="GMT102" s="450"/>
      <c r="GMU102" s="450"/>
      <c r="GMV102" s="450"/>
      <c r="GMW102" s="450"/>
      <c r="GMX102" s="450"/>
      <c r="GMY102" s="450"/>
      <c r="GMZ102" s="450"/>
      <c r="GNA102" s="450"/>
      <c r="GNB102" s="450"/>
      <c r="GNC102" s="450"/>
      <c r="GND102" s="450"/>
      <c r="GNE102" s="450"/>
      <c r="GNF102" s="450"/>
      <c r="GNG102" s="450"/>
      <c r="GNH102" s="450"/>
      <c r="GNI102" s="450"/>
      <c r="GNJ102" s="450"/>
      <c r="GNK102" s="450"/>
      <c r="GNL102" s="450"/>
      <c r="GNM102" s="450"/>
      <c r="GNN102" s="450"/>
      <c r="GNO102" s="450"/>
      <c r="GNP102" s="450"/>
      <c r="GNQ102" s="450"/>
      <c r="GNR102" s="450"/>
      <c r="GNS102" s="450"/>
      <c r="GNT102" s="450"/>
      <c r="GNU102" s="450"/>
      <c r="GNV102" s="450"/>
      <c r="GNW102" s="450"/>
      <c r="GNX102" s="450"/>
      <c r="GNY102" s="450"/>
      <c r="GNZ102" s="450"/>
      <c r="GOA102" s="450"/>
      <c r="GOB102" s="450"/>
      <c r="GOC102" s="450"/>
      <c r="GOD102" s="450"/>
      <c r="GOE102" s="450"/>
      <c r="GOF102" s="450"/>
      <c r="GOG102" s="450"/>
      <c r="GOH102" s="450"/>
      <c r="GOI102" s="450"/>
      <c r="GOJ102" s="450"/>
      <c r="GOK102" s="450"/>
      <c r="GOL102" s="450"/>
      <c r="GOM102" s="450"/>
      <c r="GON102" s="450"/>
      <c r="GOO102" s="450"/>
      <c r="GOP102" s="450"/>
      <c r="GOQ102" s="450"/>
      <c r="GOR102" s="450"/>
      <c r="GOS102" s="450"/>
      <c r="GOT102" s="450"/>
      <c r="GOU102" s="450"/>
      <c r="GOV102" s="450"/>
      <c r="GOW102" s="450"/>
      <c r="GOX102" s="450"/>
      <c r="GOY102" s="450"/>
      <c r="GOZ102" s="450"/>
      <c r="GPA102" s="450"/>
      <c r="GPB102" s="450"/>
      <c r="GPC102" s="450"/>
      <c r="GPD102" s="450"/>
      <c r="GPE102" s="450"/>
      <c r="GPF102" s="450"/>
      <c r="GPG102" s="450"/>
      <c r="GPH102" s="450"/>
      <c r="GPI102" s="450"/>
      <c r="GPJ102" s="450"/>
      <c r="GPK102" s="450"/>
      <c r="GPL102" s="450"/>
      <c r="GPM102" s="450"/>
      <c r="GPN102" s="450"/>
      <c r="GPO102" s="450"/>
      <c r="GPP102" s="450"/>
      <c r="GPQ102" s="450"/>
      <c r="GPR102" s="450"/>
      <c r="GPS102" s="450"/>
      <c r="GPT102" s="450"/>
      <c r="GPU102" s="450"/>
      <c r="GPV102" s="450"/>
      <c r="GPW102" s="450"/>
      <c r="GPX102" s="450"/>
      <c r="GPY102" s="450"/>
      <c r="GPZ102" s="450"/>
      <c r="GQA102" s="450"/>
      <c r="GQB102" s="450"/>
      <c r="GQC102" s="450"/>
      <c r="GQD102" s="450"/>
      <c r="GQE102" s="450"/>
      <c r="GQF102" s="450"/>
      <c r="GQG102" s="450"/>
      <c r="GQH102" s="450"/>
      <c r="GQI102" s="450"/>
      <c r="GQJ102" s="450"/>
      <c r="GQK102" s="450"/>
      <c r="GQL102" s="450"/>
      <c r="GQM102" s="450"/>
      <c r="GQN102" s="450"/>
      <c r="GQO102" s="450"/>
      <c r="GQP102" s="450"/>
      <c r="GQQ102" s="450"/>
      <c r="GQR102" s="450"/>
      <c r="GQS102" s="450"/>
      <c r="GQT102" s="450"/>
      <c r="GQU102" s="450"/>
      <c r="GQV102" s="450"/>
      <c r="GQW102" s="450"/>
      <c r="GQX102" s="450"/>
      <c r="GQY102" s="450"/>
      <c r="GQZ102" s="450"/>
      <c r="GRA102" s="450"/>
      <c r="GRB102" s="450"/>
      <c r="GRC102" s="450"/>
      <c r="GRD102" s="450"/>
      <c r="GRE102" s="450"/>
      <c r="GRF102" s="450"/>
      <c r="GRG102" s="450"/>
      <c r="GRH102" s="450"/>
      <c r="GRI102" s="450"/>
      <c r="GRJ102" s="450"/>
      <c r="GRK102" s="450"/>
      <c r="GRL102" s="450"/>
      <c r="GRM102" s="450"/>
      <c r="GRN102" s="450"/>
      <c r="GRO102" s="450"/>
      <c r="GRP102" s="450"/>
      <c r="GRQ102" s="450"/>
      <c r="GRR102" s="450"/>
      <c r="GRS102" s="450"/>
      <c r="GRT102" s="450"/>
      <c r="GRU102" s="450"/>
      <c r="GRV102" s="450"/>
      <c r="GRW102" s="450"/>
      <c r="GRX102" s="450"/>
      <c r="GRY102" s="450"/>
      <c r="GRZ102" s="450"/>
      <c r="GSA102" s="450"/>
      <c r="GSB102" s="450"/>
      <c r="GSC102" s="450"/>
      <c r="GSD102" s="450"/>
      <c r="GSE102" s="450"/>
      <c r="GSF102" s="450"/>
      <c r="GSG102" s="450"/>
      <c r="GSH102" s="450"/>
      <c r="GSI102" s="450"/>
      <c r="GSJ102" s="450"/>
      <c r="GSK102" s="450"/>
      <c r="GSL102" s="450"/>
      <c r="GSM102" s="450"/>
      <c r="GSN102" s="450"/>
      <c r="GSO102" s="450"/>
      <c r="GSP102" s="450"/>
      <c r="GSQ102" s="450"/>
      <c r="GSR102" s="450"/>
      <c r="GSS102" s="450"/>
      <c r="GST102" s="450"/>
      <c r="GSU102" s="450"/>
      <c r="GSV102" s="450"/>
      <c r="GSW102" s="450"/>
      <c r="GSX102" s="450"/>
      <c r="GSY102" s="450"/>
      <c r="GSZ102" s="450"/>
      <c r="GTA102" s="450"/>
      <c r="GTB102" s="450"/>
      <c r="GTC102" s="450"/>
      <c r="GTD102" s="450"/>
      <c r="GTE102" s="450"/>
      <c r="GTF102" s="450"/>
      <c r="GTG102" s="450"/>
      <c r="GTH102" s="450"/>
      <c r="GTI102" s="450"/>
      <c r="GTJ102" s="450"/>
      <c r="GTK102" s="450"/>
      <c r="GTL102" s="450"/>
      <c r="GTM102" s="450"/>
      <c r="GTN102" s="450"/>
      <c r="GTO102" s="450"/>
      <c r="GTP102" s="450"/>
      <c r="GTQ102" s="450"/>
      <c r="GTR102" s="450"/>
      <c r="GTS102" s="450"/>
      <c r="GTT102" s="450"/>
      <c r="GTU102" s="450"/>
      <c r="GTV102" s="450"/>
      <c r="GTW102" s="450"/>
      <c r="GTX102" s="450"/>
      <c r="GTY102" s="450"/>
      <c r="GTZ102" s="450"/>
      <c r="GUA102" s="450"/>
      <c r="GUB102" s="450"/>
      <c r="GUC102" s="450"/>
      <c r="GUD102" s="450"/>
      <c r="GUE102" s="450"/>
      <c r="GUF102" s="450"/>
      <c r="GUG102" s="450"/>
      <c r="GUH102" s="450"/>
      <c r="GUI102" s="450"/>
      <c r="GUJ102" s="450"/>
      <c r="GUK102" s="450"/>
      <c r="GUL102" s="450"/>
      <c r="GUM102" s="450"/>
      <c r="GUN102" s="450"/>
      <c r="GUO102" s="450"/>
      <c r="GUP102" s="450"/>
      <c r="GUQ102" s="450"/>
      <c r="GUR102" s="450"/>
      <c r="GUS102" s="450"/>
      <c r="GUT102" s="450"/>
      <c r="GUU102" s="450"/>
      <c r="GUV102" s="450"/>
      <c r="GUW102" s="450"/>
      <c r="GUX102" s="450"/>
      <c r="GUY102" s="450"/>
      <c r="GUZ102" s="450"/>
      <c r="GVA102" s="450"/>
      <c r="GVB102" s="450"/>
      <c r="GVC102" s="450"/>
      <c r="GVD102" s="450"/>
      <c r="GVE102" s="450"/>
      <c r="GVF102" s="450"/>
      <c r="GVG102" s="450"/>
      <c r="GVH102" s="450"/>
      <c r="GVI102" s="450"/>
      <c r="GVJ102" s="450"/>
      <c r="GVK102" s="450"/>
      <c r="GVL102" s="450"/>
      <c r="GVM102" s="450"/>
      <c r="GVN102" s="450"/>
      <c r="GVO102" s="450"/>
      <c r="GVP102" s="450"/>
      <c r="GVQ102" s="450"/>
      <c r="GVR102" s="450"/>
      <c r="GVS102" s="450"/>
      <c r="GVT102" s="450"/>
      <c r="GVU102" s="450"/>
      <c r="GVV102" s="450"/>
      <c r="GVW102" s="450"/>
      <c r="GVX102" s="450"/>
      <c r="GVY102" s="450"/>
      <c r="GVZ102" s="450"/>
      <c r="GWA102" s="450"/>
      <c r="GWB102" s="450"/>
      <c r="GWC102" s="450"/>
      <c r="GWD102" s="450"/>
      <c r="GWE102" s="450"/>
      <c r="GWF102" s="450"/>
      <c r="GWG102" s="450"/>
      <c r="GWH102" s="450"/>
      <c r="GWI102" s="450"/>
      <c r="GWJ102" s="450"/>
      <c r="GWK102" s="450"/>
      <c r="GWL102" s="450"/>
      <c r="GWM102" s="450"/>
      <c r="GWN102" s="450"/>
      <c r="GWO102" s="450"/>
      <c r="GWP102" s="450"/>
      <c r="GWQ102" s="450"/>
      <c r="GWR102" s="450"/>
      <c r="GWS102" s="450"/>
      <c r="GWT102" s="450"/>
      <c r="GWU102" s="450"/>
      <c r="GWV102" s="450"/>
      <c r="GWW102" s="450"/>
      <c r="GWX102" s="450"/>
      <c r="GWY102" s="450"/>
      <c r="GWZ102" s="450"/>
      <c r="GXA102" s="450"/>
      <c r="GXB102" s="450"/>
      <c r="GXC102" s="450"/>
      <c r="GXD102" s="450"/>
      <c r="GXE102" s="450"/>
      <c r="GXF102" s="450"/>
      <c r="GXG102" s="450"/>
      <c r="GXH102" s="450"/>
      <c r="GXI102" s="450"/>
      <c r="GXJ102" s="450"/>
      <c r="GXK102" s="450"/>
      <c r="GXL102" s="450"/>
      <c r="GXM102" s="450"/>
      <c r="GXN102" s="450"/>
      <c r="GXO102" s="450"/>
      <c r="GXP102" s="450"/>
      <c r="GXQ102" s="450"/>
      <c r="GXR102" s="450"/>
      <c r="GXS102" s="450"/>
      <c r="GXT102" s="450"/>
      <c r="GXU102" s="450"/>
      <c r="GXV102" s="450"/>
      <c r="GXW102" s="450"/>
      <c r="GXX102" s="450"/>
      <c r="GXY102" s="450"/>
      <c r="GXZ102" s="450"/>
      <c r="GYA102" s="450"/>
      <c r="GYB102" s="450"/>
      <c r="GYC102" s="450"/>
      <c r="GYD102" s="450"/>
      <c r="GYE102" s="450"/>
      <c r="GYF102" s="450"/>
      <c r="GYG102" s="450"/>
      <c r="GYH102" s="450"/>
      <c r="GYI102" s="450"/>
      <c r="GYJ102" s="450"/>
      <c r="GYK102" s="450"/>
      <c r="GYL102" s="450"/>
      <c r="GYM102" s="450"/>
      <c r="GYN102" s="450"/>
      <c r="GYO102" s="450"/>
      <c r="GYP102" s="450"/>
      <c r="GYQ102" s="450"/>
      <c r="GYR102" s="450"/>
      <c r="GYS102" s="450"/>
      <c r="GYT102" s="450"/>
      <c r="GYU102" s="450"/>
      <c r="GYV102" s="450"/>
      <c r="GYW102" s="450"/>
      <c r="GYX102" s="450"/>
      <c r="GYY102" s="450"/>
      <c r="GYZ102" s="450"/>
      <c r="GZA102" s="450"/>
      <c r="GZB102" s="450"/>
      <c r="GZC102" s="450"/>
      <c r="GZD102" s="450"/>
      <c r="GZE102" s="450"/>
      <c r="GZF102" s="450"/>
      <c r="GZG102" s="450"/>
      <c r="GZH102" s="450"/>
      <c r="GZI102" s="450"/>
      <c r="GZJ102" s="450"/>
      <c r="GZK102" s="450"/>
      <c r="GZL102" s="450"/>
      <c r="GZM102" s="450"/>
      <c r="GZN102" s="450"/>
      <c r="GZO102" s="450"/>
      <c r="GZP102" s="450"/>
      <c r="GZQ102" s="450"/>
      <c r="GZR102" s="450"/>
      <c r="GZS102" s="450"/>
      <c r="GZT102" s="450"/>
      <c r="GZU102" s="450"/>
      <c r="GZV102" s="450"/>
      <c r="GZW102" s="450"/>
      <c r="GZX102" s="450"/>
      <c r="GZY102" s="450"/>
      <c r="GZZ102" s="450"/>
      <c r="HAA102" s="450"/>
      <c r="HAB102" s="450"/>
      <c r="HAC102" s="450"/>
      <c r="HAD102" s="450"/>
      <c r="HAE102" s="450"/>
      <c r="HAF102" s="450"/>
      <c r="HAG102" s="450"/>
      <c r="HAH102" s="450"/>
      <c r="HAI102" s="450"/>
      <c r="HAJ102" s="450"/>
      <c r="HAK102" s="450"/>
      <c r="HAL102" s="450"/>
      <c r="HAM102" s="450"/>
      <c r="HAN102" s="450"/>
      <c r="HAO102" s="450"/>
      <c r="HAP102" s="450"/>
      <c r="HAQ102" s="450"/>
      <c r="HAR102" s="450"/>
      <c r="HAS102" s="450"/>
      <c r="HAT102" s="450"/>
      <c r="HAU102" s="450"/>
      <c r="HAV102" s="450"/>
      <c r="HAW102" s="450"/>
      <c r="HAX102" s="450"/>
      <c r="HAY102" s="450"/>
      <c r="HAZ102" s="450"/>
      <c r="HBA102" s="450"/>
      <c r="HBB102" s="450"/>
      <c r="HBC102" s="450"/>
      <c r="HBD102" s="450"/>
      <c r="HBE102" s="450"/>
      <c r="HBF102" s="450"/>
      <c r="HBG102" s="450"/>
      <c r="HBH102" s="450"/>
      <c r="HBI102" s="450"/>
      <c r="HBJ102" s="450"/>
      <c r="HBK102" s="450"/>
      <c r="HBL102" s="450"/>
      <c r="HBM102" s="450"/>
      <c r="HBN102" s="450"/>
      <c r="HBO102" s="450"/>
      <c r="HBP102" s="450"/>
      <c r="HBQ102" s="450"/>
      <c r="HBR102" s="450"/>
      <c r="HBS102" s="450"/>
      <c r="HBT102" s="450"/>
      <c r="HBU102" s="450"/>
      <c r="HBV102" s="450"/>
      <c r="HBW102" s="450"/>
      <c r="HBX102" s="450"/>
      <c r="HBY102" s="450"/>
      <c r="HBZ102" s="450"/>
      <c r="HCA102" s="450"/>
      <c r="HCB102" s="450"/>
      <c r="HCC102" s="450"/>
      <c r="HCD102" s="450"/>
      <c r="HCE102" s="450"/>
      <c r="HCF102" s="450"/>
      <c r="HCG102" s="450"/>
      <c r="HCH102" s="450"/>
      <c r="HCI102" s="450"/>
      <c r="HCJ102" s="450"/>
      <c r="HCK102" s="450"/>
      <c r="HCL102" s="450"/>
      <c r="HCM102" s="450"/>
      <c r="HCN102" s="450"/>
      <c r="HCO102" s="450"/>
      <c r="HCP102" s="450"/>
      <c r="HCQ102" s="450"/>
      <c r="HCR102" s="450"/>
      <c r="HCS102" s="450"/>
      <c r="HCT102" s="450"/>
      <c r="HCU102" s="450"/>
      <c r="HCV102" s="450"/>
      <c r="HCW102" s="450"/>
      <c r="HCX102" s="450"/>
      <c r="HCY102" s="450"/>
      <c r="HCZ102" s="450"/>
      <c r="HDA102" s="450"/>
      <c r="HDB102" s="450"/>
      <c r="HDC102" s="450"/>
      <c r="HDD102" s="450"/>
      <c r="HDE102" s="450"/>
      <c r="HDF102" s="450"/>
      <c r="HDG102" s="450"/>
      <c r="HDH102" s="450"/>
      <c r="HDI102" s="450"/>
      <c r="HDJ102" s="450"/>
      <c r="HDK102" s="450"/>
      <c r="HDL102" s="450"/>
      <c r="HDM102" s="450"/>
      <c r="HDN102" s="450"/>
      <c r="HDO102" s="450"/>
      <c r="HDP102" s="450"/>
      <c r="HDQ102" s="450"/>
      <c r="HDR102" s="450"/>
      <c r="HDS102" s="450"/>
      <c r="HDT102" s="450"/>
      <c r="HDU102" s="450"/>
      <c r="HDV102" s="450"/>
      <c r="HDW102" s="450"/>
      <c r="HDX102" s="450"/>
      <c r="HDY102" s="450"/>
      <c r="HDZ102" s="450"/>
      <c r="HEA102" s="450"/>
      <c r="HEB102" s="450"/>
      <c r="HEC102" s="450"/>
      <c r="HED102" s="450"/>
      <c r="HEE102" s="450"/>
      <c r="HEF102" s="450"/>
      <c r="HEG102" s="450"/>
      <c r="HEH102" s="450"/>
      <c r="HEI102" s="450"/>
      <c r="HEJ102" s="450"/>
      <c r="HEK102" s="450"/>
      <c r="HEL102" s="450"/>
      <c r="HEM102" s="450"/>
      <c r="HEN102" s="450"/>
      <c r="HEO102" s="450"/>
      <c r="HEP102" s="450"/>
      <c r="HEQ102" s="450"/>
      <c r="HER102" s="450"/>
      <c r="HES102" s="450"/>
      <c r="HET102" s="450"/>
      <c r="HEU102" s="450"/>
      <c r="HEV102" s="450"/>
      <c r="HEW102" s="450"/>
      <c r="HEX102" s="450"/>
      <c r="HEY102" s="450"/>
      <c r="HEZ102" s="450"/>
      <c r="HFA102" s="450"/>
      <c r="HFB102" s="450"/>
      <c r="HFC102" s="450"/>
      <c r="HFD102" s="450"/>
      <c r="HFE102" s="450"/>
      <c r="HFF102" s="450"/>
      <c r="HFG102" s="450"/>
      <c r="HFH102" s="450"/>
      <c r="HFI102" s="450"/>
      <c r="HFJ102" s="450"/>
      <c r="HFK102" s="450"/>
      <c r="HFL102" s="450"/>
      <c r="HFM102" s="450"/>
      <c r="HFN102" s="450"/>
      <c r="HFO102" s="450"/>
      <c r="HFP102" s="450"/>
      <c r="HFQ102" s="450"/>
      <c r="HFR102" s="450"/>
      <c r="HFS102" s="450"/>
      <c r="HFT102" s="450"/>
      <c r="HFU102" s="450"/>
      <c r="HFV102" s="450"/>
      <c r="HFW102" s="450"/>
      <c r="HFX102" s="450"/>
      <c r="HFY102" s="450"/>
      <c r="HFZ102" s="450"/>
      <c r="HGA102" s="450"/>
      <c r="HGB102" s="450"/>
      <c r="HGC102" s="450"/>
      <c r="HGD102" s="450"/>
      <c r="HGE102" s="450"/>
      <c r="HGF102" s="450"/>
      <c r="HGG102" s="450"/>
      <c r="HGH102" s="450"/>
      <c r="HGI102" s="450"/>
      <c r="HGJ102" s="450"/>
      <c r="HGK102" s="450"/>
      <c r="HGL102" s="450"/>
      <c r="HGM102" s="450"/>
      <c r="HGN102" s="450"/>
      <c r="HGO102" s="450"/>
      <c r="HGP102" s="450"/>
      <c r="HGQ102" s="450"/>
      <c r="HGR102" s="450"/>
      <c r="HGS102" s="450"/>
      <c r="HGT102" s="450"/>
      <c r="HGU102" s="450"/>
      <c r="HGV102" s="450"/>
      <c r="HGW102" s="450"/>
      <c r="HGX102" s="450"/>
      <c r="HGY102" s="450"/>
      <c r="HGZ102" s="450"/>
      <c r="HHA102" s="450"/>
      <c r="HHB102" s="450"/>
      <c r="HHC102" s="450"/>
      <c r="HHD102" s="450"/>
      <c r="HHE102" s="450"/>
      <c r="HHF102" s="450"/>
      <c r="HHG102" s="450"/>
      <c r="HHH102" s="450"/>
      <c r="HHI102" s="450"/>
      <c r="HHJ102" s="450"/>
      <c r="HHK102" s="450"/>
      <c r="HHL102" s="450"/>
      <c r="HHM102" s="450"/>
      <c r="HHN102" s="450"/>
      <c r="HHO102" s="450"/>
      <c r="HHP102" s="450"/>
      <c r="HHQ102" s="450"/>
      <c r="HHR102" s="450"/>
      <c r="HHS102" s="450"/>
      <c r="HHT102" s="450"/>
      <c r="HHU102" s="450"/>
      <c r="HHV102" s="450"/>
      <c r="HHW102" s="450"/>
      <c r="HHX102" s="450"/>
      <c r="HHY102" s="450"/>
      <c r="HHZ102" s="450"/>
      <c r="HIA102" s="450"/>
      <c r="HIB102" s="450"/>
      <c r="HIC102" s="450"/>
      <c r="HID102" s="450"/>
      <c r="HIE102" s="450"/>
      <c r="HIF102" s="450"/>
      <c r="HIG102" s="450"/>
      <c r="HIH102" s="450"/>
      <c r="HII102" s="450"/>
      <c r="HIJ102" s="450"/>
      <c r="HIK102" s="450"/>
      <c r="HIL102" s="450"/>
      <c r="HIM102" s="450"/>
      <c r="HIN102" s="450"/>
      <c r="HIO102" s="450"/>
      <c r="HIP102" s="450"/>
      <c r="HIQ102" s="450"/>
      <c r="HIR102" s="450"/>
      <c r="HIS102" s="450"/>
      <c r="HIT102" s="450"/>
      <c r="HIU102" s="450"/>
      <c r="HIV102" s="450"/>
      <c r="HIW102" s="450"/>
      <c r="HIX102" s="450"/>
      <c r="HIY102" s="450"/>
      <c r="HIZ102" s="450"/>
      <c r="HJA102" s="450"/>
      <c r="HJB102" s="450"/>
      <c r="HJC102" s="450"/>
      <c r="HJD102" s="450"/>
      <c r="HJE102" s="450"/>
      <c r="HJF102" s="450"/>
      <c r="HJG102" s="450"/>
      <c r="HJH102" s="450"/>
      <c r="HJI102" s="450"/>
      <c r="HJJ102" s="450"/>
      <c r="HJK102" s="450"/>
      <c r="HJL102" s="450"/>
      <c r="HJM102" s="450"/>
      <c r="HJN102" s="450"/>
      <c r="HJO102" s="450"/>
      <c r="HJP102" s="450"/>
      <c r="HJQ102" s="450"/>
      <c r="HJR102" s="450"/>
      <c r="HJS102" s="450"/>
      <c r="HJT102" s="450"/>
      <c r="HJU102" s="450"/>
      <c r="HJV102" s="450"/>
      <c r="HJW102" s="450"/>
      <c r="HJX102" s="450"/>
      <c r="HJY102" s="450"/>
      <c r="HJZ102" s="450"/>
      <c r="HKA102" s="450"/>
      <c r="HKB102" s="450"/>
      <c r="HKC102" s="450"/>
      <c r="HKD102" s="450"/>
      <c r="HKE102" s="450"/>
      <c r="HKF102" s="450"/>
      <c r="HKG102" s="450"/>
      <c r="HKH102" s="450"/>
      <c r="HKI102" s="450"/>
      <c r="HKJ102" s="450"/>
      <c r="HKK102" s="450"/>
      <c r="HKL102" s="450"/>
      <c r="HKM102" s="450"/>
      <c r="HKN102" s="450"/>
      <c r="HKO102" s="450"/>
      <c r="HKP102" s="450"/>
      <c r="HKQ102" s="450"/>
      <c r="HKR102" s="450"/>
      <c r="HKS102" s="450"/>
      <c r="HKT102" s="450"/>
      <c r="HKU102" s="450"/>
      <c r="HKV102" s="450"/>
      <c r="HKW102" s="450"/>
      <c r="HKX102" s="450"/>
      <c r="HKY102" s="450"/>
      <c r="HKZ102" s="450"/>
      <c r="HLA102" s="450"/>
      <c r="HLB102" s="450"/>
      <c r="HLC102" s="450"/>
      <c r="HLD102" s="450"/>
      <c r="HLE102" s="450"/>
      <c r="HLF102" s="450"/>
      <c r="HLG102" s="450"/>
      <c r="HLH102" s="450"/>
      <c r="HLI102" s="450"/>
      <c r="HLJ102" s="450"/>
      <c r="HLK102" s="450"/>
      <c r="HLL102" s="450"/>
      <c r="HLM102" s="450"/>
      <c r="HLN102" s="450"/>
      <c r="HLO102" s="450"/>
      <c r="HLP102" s="450"/>
      <c r="HLQ102" s="450"/>
      <c r="HLR102" s="450"/>
      <c r="HLS102" s="450"/>
      <c r="HLT102" s="450"/>
      <c r="HLU102" s="450"/>
      <c r="HLV102" s="450"/>
      <c r="HLW102" s="450"/>
      <c r="HLX102" s="450"/>
      <c r="HLY102" s="450"/>
      <c r="HLZ102" s="450"/>
      <c r="HMA102" s="450"/>
      <c r="HMB102" s="450"/>
      <c r="HMC102" s="450"/>
      <c r="HMD102" s="450"/>
      <c r="HME102" s="450"/>
      <c r="HMF102" s="450"/>
      <c r="HMG102" s="450"/>
      <c r="HMH102" s="450"/>
      <c r="HMI102" s="450"/>
      <c r="HMJ102" s="450"/>
      <c r="HMK102" s="450"/>
      <c r="HML102" s="450"/>
      <c r="HMM102" s="450"/>
      <c r="HMN102" s="450"/>
      <c r="HMO102" s="450"/>
      <c r="HMP102" s="450"/>
      <c r="HMQ102" s="450"/>
      <c r="HMR102" s="450"/>
      <c r="HMS102" s="450"/>
      <c r="HMT102" s="450"/>
      <c r="HMU102" s="450"/>
      <c r="HMV102" s="450"/>
      <c r="HMW102" s="450"/>
      <c r="HMX102" s="450"/>
      <c r="HMY102" s="450"/>
      <c r="HMZ102" s="450"/>
      <c r="HNA102" s="450"/>
      <c r="HNB102" s="450"/>
      <c r="HNC102" s="450"/>
      <c r="HND102" s="450"/>
      <c r="HNE102" s="450"/>
      <c r="HNF102" s="450"/>
      <c r="HNG102" s="450"/>
      <c r="HNH102" s="450"/>
      <c r="HNI102" s="450"/>
      <c r="HNJ102" s="450"/>
      <c r="HNK102" s="450"/>
      <c r="HNL102" s="450"/>
      <c r="HNM102" s="450"/>
      <c r="HNN102" s="450"/>
      <c r="HNO102" s="450"/>
      <c r="HNP102" s="450"/>
      <c r="HNQ102" s="450"/>
      <c r="HNR102" s="450"/>
      <c r="HNS102" s="450"/>
      <c r="HNT102" s="450"/>
      <c r="HNU102" s="450"/>
      <c r="HNV102" s="450"/>
      <c r="HNW102" s="450"/>
      <c r="HNX102" s="450"/>
      <c r="HNY102" s="450"/>
      <c r="HNZ102" s="450"/>
      <c r="HOA102" s="450"/>
      <c r="HOB102" s="450"/>
      <c r="HOC102" s="450"/>
      <c r="HOD102" s="450"/>
      <c r="HOE102" s="450"/>
      <c r="HOF102" s="450"/>
      <c r="HOG102" s="450"/>
      <c r="HOH102" s="450"/>
      <c r="HOI102" s="450"/>
      <c r="HOJ102" s="450"/>
      <c r="HOK102" s="450"/>
      <c r="HOL102" s="450"/>
      <c r="HOM102" s="450"/>
      <c r="HON102" s="450"/>
      <c r="HOO102" s="450"/>
      <c r="HOP102" s="450"/>
      <c r="HOQ102" s="450"/>
      <c r="HOR102" s="450"/>
      <c r="HOS102" s="450"/>
      <c r="HOT102" s="450"/>
      <c r="HOU102" s="450"/>
      <c r="HOV102" s="450"/>
      <c r="HOW102" s="450"/>
      <c r="HOX102" s="450"/>
      <c r="HOY102" s="450"/>
      <c r="HOZ102" s="450"/>
      <c r="HPA102" s="450"/>
      <c r="HPB102" s="450"/>
      <c r="HPC102" s="450"/>
      <c r="HPD102" s="450"/>
      <c r="HPE102" s="450"/>
      <c r="HPF102" s="450"/>
      <c r="HPG102" s="450"/>
      <c r="HPH102" s="450"/>
      <c r="HPI102" s="450"/>
      <c r="HPJ102" s="450"/>
      <c r="HPK102" s="450"/>
      <c r="HPL102" s="450"/>
      <c r="HPM102" s="450"/>
      <c r="HPN102" s="450"/>
      <c r="HPO102" s="450"/>
      <c r="HPP102" s="450"/>
      <c r="HPQ102" s="450"/>
      <c r="HPR102" s="450"/>
      <c r="HPS102" s="450"/>
      <c r="HPT102" s="450"/>
      <c r="HPU102" s="450"/>
      <c r="HPV102" s="450"/>
      <c r="HPW102" s="450"/>
      <c r="HPX102" s="450"/>
      <c r="HPY102" s="450"/>
      <c r="HPZ102" s="450"/>
      <c r="HQA102" s="450"/>
      <c r="HQB102" s="450"/>
      <c r="HQC102" s="450"/>
      <c r="HQD102" s="450"/>
      <c r="HQE102" s="450"/>
      <c r="HQF102" s="450"/>
      <c r="HQG102" s="450"/>
      <c r="HQH102" s="450"/>
      <c r="HQI102" s="450"/>
      <c r="HQJ102" s="450"/>
      <c r="HQK102" s="450"/>
      <c r="HQL102" s="450"/>
      <c r="HQM102" s="450"/>
      <c r="HQN102" s="450"/>
      <c r="HQO102" s="450"/>
      <c r="HQP102" s="450"/>
      <c r="HQQ102" s="450"/>
      <c r="HQR102" s="450"/>
      <c r="HQS102" s="450"/>
      <c r="HQT102" s="450"/>
      <c r="HQU102" s="450"/>
      <c r="HQV102" s="450"/>
      <c r="HQW102" s="450"/>
      <c r="HQX102" s="450"/>
      <c r="HQY102" s="450"/>
      <c r="HQZ102" s="450"/>
      <c r="HRA102" s="450"/>
      <c r="HRB102" s="450"/>
      <c r="HRC102" s="450"/>
      <c r="HRD102" s="450"/>
      <c r="HRE102" s="450"/>
      <c r="HRF102" s="450"/>
      <c r="HRG102" s="450"/>
      <c r="HRH102" s="450"/>
      <c r="HRI102" s="450"/>
      <c r="HRJ102" s="450"/>
      <c r="HRK102" s="450"/>
      <c r="HRL102" s="450"/>
      <c r="HRM102" s="450"/>
      <c r="HRN102" s="450"/>
      <c r="HRO102" s="450"/>
      <c r="HRP102" s="450"/>
      <c r="HRQ102" s="450"/>
      <c r="HRR102" s="450"/>
      <c r="HRS102" s="450"/>
      <c r="HRT102" s="450"/>
      <c r="HRU102" s="450"/>
      <c r="HRV102" s="450"/>
      <c r="HRW102" s="450"/>
      <c r="HRX102" s="450"/>
      <c r="HRY102" s="450"/>
      <c r="HRZ102" s="450"/>
      <c r="HSA102" s="450"/>
      <c r="HSB102" s="450"/>
      <c r="HSC102" s="450"/>
      <c r="HSD102" s="450"/>
      <c r="HSE102" s="450"/>
      <c r="HSF102" s="450"/>
      <c r="HSG102" s="450"/>
      <c r="HSH102" s="450"/>
      <c r="HSI102" s="450"/>
      <c r="HSJ102" s="450"/>
      <c r="HSK102" s="450"/>
      <c r="HSL102" s="450"/>
      <c r="HSM102" s="450"/>
      <c r="HSN102" s="450"/>
      <c r="HSO102" s="450"/>
      <c r="HSP102" s="450"/>
      <c r="HSQ102" s="450"/>
      <c r="HSR102" s="450"/>
      <c r="HSS102" s="450"/>
      <c r="HST102" s="450"/>
      <c r="HSU102" s="450"/>
      <c r="HSV102" s="450"/>
      <c r="HSW102" s="450"/>
      <c r="HSX102" s="450"/>
      <c r="HSY102" s="450"/>
      <c r="HSZ102" s="450"/>
      <c r="HTA102" s="450"/>
      <c r="HTB102" s="450"/>
      <c r="HTC102" s="450"/>
      <c r="HTD102" s="450"/>
      <c r="HTE102" s="450"/>
      <c r="HTF102" s="450"/>
      <c r="HTG102" s="450"/>
      <c r="HTH102" s="450"/>
      <c r="HTI102" s="450"/>
      <c r="HTJ102" s="450"/>
      <c r="HTK102" s="450"/>
      <c r="HTL102" s="450"/>
      <c r="HTM102" s="450"/>
      <c r="HTN102" s="450"/>
      <c r="HTO102" s="450"/>
      <c r="HTP102" s="450"/>
      <c r="HTQ102" s="450"/>
      <c r="HTR102" s="450"/>
      <c r="HTS102" s="450"/>
      <c r="HTT102" s="450"/>
      <c r="HTU102" s="450"/>
      <c r="HTV102" s="450"/>
      <c r="HTW102" s="450"/>
      <c r="HTX102" s="450"/>
      <c r="HTY102" s="450"/>
      <c r="HTZ102" s="450"/>
      <c r="HUA102" s="450"/>
      <c r="HUB102" s="450"/>
      <c r="HUC102" s="450"/>
      <c r="HUD102" s="450"/>
      <c r="HUE102" s="450"/>
      <c r="HUF102" s="450"/>
      <c r="HUG102" s="450"/>
      <c r="HUH102" s="450"/>
      <c r="HUI102" s="450"/>
      <c r="HUJ102" s="450"/>
      <c r="HUK102" s="450"/>
      <c r="HUL102" s="450"/>
      <c r="HUM102" s="450"/>
      <c r="HUN102" s="450"/>
      <c r="HUO102" s="450"/>
      <c r="HUP102" s="450"/>
      <c r="HUQ102" s="450"/>
      <c r="HUR102" s="450"/>
      <c r="HUS102" s="450"/>
      <c r="HUT102" s="450"/>
      <c r="HUU102" s="450"/>
      <c r="HUV102" s="450"/>
      <c r="HUW102" s="450"/>
      <c r="HUX102" s="450"/>
      <c r="HUY102" s="450"/>
      <c r="HUZ102" s="450"/>
      <c r="HVA102" s="450"/>
      <c r="HVB102" s="450"/>
      <c r="HVC102" s="450"/>
      <c r="HVD102" s="450"/>
      <c r="HVE102" s="450"/>
      <c r="HVF102" s="450"/>
      <c r="HVG102" s="450"/>
      <c r="HVH102" s="450"/>
      <c r="HVI102" s="450"/>
      <c r="HVJ102" s="450"/>
      <c r="HVK102" s="450"/>
      <c r="HVL102" s="450"/>
      <c r="HVM102" s="450"/>
      <c r="HVN102" s="450"/>
      <c r="HVO102" s="450"/>
      <c r="HVP102" s="450"/>
      <c r="HVQ102" s="450"/>
      <c r="HVR102" s="450"/>
      <c r="HVS102" s="450"/>
      <c r="HVT102" s="450"/>
      <c r="HVU102" s="450"/>
      <c r="HVV102" s="450"/>
      <c r="HVW102" s="450"/>
      <c r="HVX102" s="450"/>
      <c r="HVY102" s="450"/>
      <c r="HVZ102" s="450"/>
      <c r="HWA102" s="450"/>
      <c r="HWB102" s="450"/>
      <c r="HWC102" s="450"/>
      <c r="HWD102" s="450"/>
      <c r="HWE102" s="450"/>
      <c r="HWF102" s="450"/>
      <c r="HWG102" s="450"/>
      <c r="HWH102" s="450"/>
      <c r="HWI102" s="450"/>
      <c r="HWJ102" s="450"/>
      <c r="HWK102" s="450"/>
      <c r="HWL102" s="450"/>
      <c r="HWM102" s="450"/>
      <c r="HWN102" s="450"/>
      <c r="HWO102" s="450"/>
      <c r="HWP102" s="450"/>
      <c r="HWQ102" s="450"/>
      <c r="HWR102" s="450"/>
      <c r="HWS102" s="450"/>
      <c r="HWT102" s="450"/>
      <c r="HWU102" s="450"/>
      <c r="HWV102" s="450"/>
      <c r="HWW102" s="450"/>
      <c r="HWX102" s="450"/>
      <c r="HWY102" s="450"/>
      <c r="HWZ102" s="450"/>
      <c r="HXA102" s="450"/>
      <c r="HXB102" s="450"/>
      <c r="HXC102" s="450"/>
      <c r="HXD102" s="450"/>
      <c r="HXE102" s="450"/>
      <c r="HXF102" s="450"/>
      <c r="HXG102" s="450"/>
      <c r="HXH102" s="450"/>
      <c r="HXI102" s="450"/>
      <c r="HXJ102" s="450"/>
      <c r="HXK102" s="450"/>
      <c r="HXL102" s="450"/>
      <c r="HXM102" s="450"/>
      <c r="HXN102" s="450"/>
      <c r="HXO102" s="450"/>
      <c r="HXP102" s="450"/>
      <c r="HXQ102" s="450"/>
      <c r="HXR102" s="450"/>
      <c r="HXS102" s="450"/>
      <c r="HXT102" s="450"/>
      <c r="HXU102" s="450"/>
      <c r="HXV102" s="450"/>
      <c r="HXW102" s="450"/>
      <c r="HXX102" s="450"/>
      <c r="HXY102" s="450"/>
      <c r="HXZ102" s="450"/>
      <c r="HYA102" s="450"/>
      <c r="HYB102" s="450"/>
      <c r="HYC102" s="450"/>
      <c r="HYD102" s="450"/>
      <c r="HYE102" s="450"/>
      <c r="HYF102" s="450"/>
      <c r="HYG102" s="450"/>
      <c r="HYH102" s="450"/>
      <c r="HYI102" s="450"/>
      <c r="HYJ102" s="450"/>
      <c r="HYK102" s="450"/>
      <c r="HYL102" s="450"/>
      <c r="HYM102" s="450"/>
      <c r="HYN102" s="450"/>
      <c r="HYO102" s="450"/>
      <c r="HYP102" s="450"/>
      <c r="HYQ102" s="450"/>
      <c r="HYR102" s="450"/>
      <c r="HYS102" s="450"/>
      <c r="HYT102" s="450"/>
      <c r="HYU102" s="450"/>
      <c r="HYV102" s="450"/>
      <c r="HYW102" s="450"/>
      <c r="HYX102" s="450"/>
      <c r="HYY102" s="450"/>
      <c r="HYZ102" s="450"/>
      <c r="HZA102" s="450"/>
      <c r="HZB102" s="450"/>
      <c r="HZC102" s="450"/>
      <c r="HZD102" s="450"/>
      <c r="HZE102" s="450"/>
      <c r="HZF102" s="450"/>
      <c r="HZG102" s="450"/>
      <c r="HZH102" s="450"/>
      <c r="HZI102" s="450"/>
      <c r="HZJ102" s="450"/>
      <c r="HZK102" s="450"/>
      <c r="HZL102" s="450"/>
      <c r="HZM102" s="450"/>
      <c r="HZN102" s="450"/>
      <c r="HZO102" s="450"/>
      <c r="HZP102" s="450"/>
      <c r="HZQ102" s="450"/>
      <c r="HZR102" s="450"/>
      <c r="HZS102" s="450"/>
      <c r="HZT102" s="450"/>
      <c r="HZU102" s="450"/>
      <c r="HZV102" s="450"/>
      <c r="HZW102" s="450"/>
      <c r="HZX102" s="450"/>
      <c r="HZY102" s="450"/>
      <c r="HZZ102" s="450"/>
      <c r="IAA102" s="450"/>
      <c r="IAB102" s="450"/>
      <c r="IAC102" s="450"/>
      <c r="IAD102" s="450"/>
      <c r="IAE102" s="450"/>
      <c r="IAF102" s="450"/>
      <c r="IAG102" s="450"/>
      <c r="IAH102" s="450"/>
      <c r="IAI102" s="450"/>
      <c r="IAJ102" s="450"/>
      <c r="IAK102" s="450"/>
      <c r="IAL102" s="450"/>
      <c r="IAM102" s="450"/>
      <c r="IAN102" s="450"/>
      <c r="IAO102" s="450"/>
      <c r="IAP102" s="450"/>
      <c r="IAQ102" s="450"/>
      <c r="IAR102" s="450"/>
      <c r="IAS102" s="450"/>
      <c r="IAT102" s="450"/>
      <c r="IAU102" s="450"/>
      <c r="IAV102" s="450"/>
      <c r="IAW102" s="450"/>
      <c r="IAX102" s="450"/>
      <c r="IAY102" s="450"/>
      <c r="IAZ102" s="450"/>
      <c r="IBA102" s="450"/>
      <c r="IBB102" s="450"/>
      <c r="IBC102" s="450"/>
      <c r="IBD102" s="450"/>
      <c r="IBE102" s="450"/>
      <c r="IBF102" s="450"/>
      <c r="IBG102" s="450"/>
      <c r="IBH102" s="450"/>
      <c r="IBI102" s="450"/>
      <c r="IBJ102" s="450"/>
      <c r="IBK102" s="450"/>
      <c r="IBL102" s="450"/>
      <c r="IBM102" s="450"/>
      <c r="IBN102" s="450"/>
      <c r="IBO102" s="450"/>
      <c r="IBP102" s="450"/>
      <c r="IBQ102" s="450"/>
      <c r="IBR102" s="450"/>
      <c r="IBS102" s="450"/>
      <c r="IBT102" s="450"/>
      <c r="IBU102" s="450"/>
      <c r="IBV102" s="450"/>
      <c r="IBW102" s="450"/>
      <c r="IBX102" s="450"/>
      <c r="IBY102" s="450"/>
      <c r="IBZ102" s="450"/>
      <c r="ICA102" s="450"/>
      <c r="ICB102" s="450"/>
      <c r="ICC102" s="450"/>
      <c r="ICD102" s="450"/>
      <c r="ICE102" s="450"/>
      <c r="ICF102" s="450"/>
      <c r="ICG102" s="450"/>
      <c r="ICH102" s="450"/>
      <c r="ICI102" s="450"/>
      <c r="ICJ102" s="450"/>
      <c r="ICK102" s="450"/>
      <c r="ICL102" s="450"/>
      <c r="ICM102" s="450"/>
      <c r="ICN102" s="450"/>
      <c r="ICO102" s="450"/>
      <c r="ICP102" s="450"/>
      <c r="ICQ102" s="450"/>
      <c r="ICR102" s="450"/>
      <c r="ICS102" s="450"/>
      <c r="ICT102" s="450"/>
      <c r="ICU102" s="450"/>
      <c r="ICV102" s="450"/>
      <c r="ICW102" s="450"/>
      <c r="ICX102" s="450"/>
      <c r="ICY102" s="450"/>
      <c r="ICZ102" s="450"/>
      <c r="IDA102" s="450"/>
      <c r="IDB102" s="450"/>
      <c r="IDC102" s="450"/>
      <c r="IDD102" s="450"/>
      <c r="IDE102" s="450"/>
      <c r="IDF102" s="450"/>
      <c r="IDG102" s="450"/>
      <c r="IDH102" s="450"/>
      <c r="IDI102" s="450"/>
      <c r="IDJ102" s="450"/>
      <c r="IDK102" s="450"/>
      <c r="IDL102" s="450"/>
      <c r="IDM102" s="450"/>
      <c r="IDN102" s="450"/>
      <c r="IDO102" s="450"/>
      <c r="IDP102" s="450"/>
      <c r="IDQ102" s="450"/>
      <c r="IDR102" s="450"/>
      <c r="IDS102" s="450"/>
      <c r="IDT102" s="450"/>
      <c r="IDU102" s="450"/>
      <c r="IDV102" s="450"/>
      <c r="IDW102" s="450"/>
      <c r="IDX102" s="450"/>
      <c r="IDY102" s="450"/>
      <c r="IDZ102" s="450"/>
      <c r="IEA102" s="450"/>
      <c r="IEB102" s="450"/>
      <c r="IEC102" s="450"/>
      <c r="IED102" s="450"/>
      <c r="IEE102" s="450"/>
      <c r="IEF102" s="450"/>
      <c r="IEG102" s="450"/>
      <c r="IEH102" s="450"/>
      <c r="IEI102" s="450"/>
      <c r="IEJ102" s="450"/>
      <c r="IEK102" s="450"/>
      <c r="IEL102" s="450"/>
      <c r="IEM102" s="450"/>
      <c r="IEN102" s="450"/>
      <c r="IEO102" s="450"/>
      <c r="IEP102" s="450"/>
      <c r="IEQ102" s="450"/>
      <c r="IER102" s="450"/>
      <c r="IES102" s="450"/>
      <c r="IET102" s="450"/>
      <c r="IEU102" s="450"/>
      <c r="IEV102" s="450"/>
      <c r="IEW102" s="450"/>
      <c r="IEX102" s="450"/>
      <c r="IEY102" s="450"/>
      <c r="IEZ102" s="450"/>
      <c r="IFA102" s="450"/>
      <c r="IFB102" s="450"/>
      <c r="IFC102" s="450"/>
      <c r="IFD102" s="450"/>
      <c r="IFE102" s="450"/>
      <c r="IFF102" s="450"/>
      <c r="IFG102" s="450"/>
      <c r="IFH102" s="450"/>
      <c r="IFI102" s="450"/>
      <c r="IFJ102" s="450"/>
      <c r="IFK102" s="450"/>
      <c r="IFL102" s="450"/>
      <c r="IFM102" s="450"/>
      <c r="IFN102" s="450"/>
      <c r="IFO102" s="450"/>
      <c r="IFP102" s="450"/>
      <c r="IFQ102" s="450"/>
      <c r="IFR102" s="450"/>
      <c r="IFS102" s="450"/>
      <c r="IFT102" s="450"/>
      <c r="IFU102" s="450"/>
      <c r="IFV102" s="450"/>
      <c r="IFW102" s="450"/>
      <c r="IFX102" s="450"/>
      <c r="IFY102" s="450"/>
      <c r="IFZ102" s="450"/>
      <c r="IGA102" s="450"/>
      <c r="IGB102" s="450"/>
      <c r="IGC102" s="450"/>
      <c r="IGD102" s="450"/>
      <c r="IGE102" s="450"/>
      <c r="IGF102" s="450"/>
      <c r="IGG102" s="450"/>
      <c r="IGH102" s="450"/>
      <c r="IGI102" s="450"/>
      <c r="IGJ102" s="450"/>
      <c r="IGK102" s="450"/>
      <c r="IGL102" s="450"/>
      <c r="IGM102" s="450"/>
      <c r="IGN102" s="450"/>
      <c r="IGO102" s="450"/>
      <c r="IGP102" s="450"/>
      <c r="IGQ102" s="450"/>
      <c r="IGR102" s="450"/>
      <c r="IGS102" s="450"/>
      <c r="IGT102" s="450"/>
      <c r="IGU102" s="450"/>
      <c r="IGV102" s="450"/>
      <c r="IGW102" s="450"/>
      <c r="IGX102" s="450"/>
      <c r="IGY102" s="450"/>
      <c r="IGZ102" s="450"/>
      <c r="IHA102" s="450"/>
      <c r="IHB102" s="450"/>
      <c r="IHC102" s="450"/>
      <c r="IHD102" s="450"/>
      <c r="IHE102" s="450"/>
      <c r="IHF102" s="450"/>
      <c r="IHG102" s="450"/>
      <c r="IHH102" s="450"/>
      <c r="IHI102" s="450"/>
      <c r="IHJ102" s="450"/>
      <c r="IHK102" s="450"/>
      <c r="IHL102" s="450"/>
      <c r="IHM102" s="450"/>
      <c r="IHN102" s="450"/>
      <c r="IHO102" s="450"/>
      <c r="IHP102" s="450"/>
      <c r="IHQ102" s="450"/>
      <c r="IHR102" s="450"/>
      <c r="IHS102" s="450"/>
      <c r="IHT102" s="450"/>
      <c r="IHU102" s="450"/>
      <c r="IHV102" s="450"/>
      <c r="IHW102" s="450"/>
      <c r="IHX102" s="450"/>
      <c r="IHY102" s="450"/>
      <c r="IHZ102" s="450"/>
      <c r="IIA102" s="450"/>
      <c r="IIB102" s="450"/>
      <c r="IIC102" s="450"/>
      <c r="IID102" s="450"/>
      <c r="IIE102" s="450"/>
      <c r="IIF102" s="450"/>
      <c r="IIG102" s="450"/>
      <c r="IIH102" s="450"/>
      <c r="III102" s="450"/>
      <c r="IIJ102" s="450"/>
      <c r="IIK102" s="450"/>
      <c r="IIL102" s="450"/>
      <c r="IIM102" s="450"/>
      <c r="IIN102" s="450"/>
      <c r="IIO102" s="450"/>
      <c r="IIP102" s="450"/>
      <c r="IIQ102" s="450"/>
      <c r="IIR102" s="450"/>
      <c r="IIS102" s="450"/>
      <c r="IIT102" s="450"/>
      <c r="IIU102" s="450"/>
      <c r="IIV102" s="450"/>
      <c r="IIW102" s="450"/>
      <c r="IIX102" s="450"/>
      <c r="IIY102" s="450"/>
      <c r="IIZ102" s="450"/>
      <c r="IJA102" s="450"/>
      <c r="IJB102" s="450"/>
      <c r="IJC102" s="450"/>
      <c r="IJD102" s="450"/>
      <c r="IJE102" s="450"/>
      <c r="IJF102" s="450"/>
      <c r="IJG102" s="450"/>
      <c r="IJH102" s="450"/>
      <c r="IJI102" s="450"/>
      <c r="IJJ102" s="450"/>
      <c r="IJK102" s="450"/>
      <c r="IJL102" s="450"/>
      <c r="IJM102" s="450"/>
      <c r="IJN102" s="450"/>
      <c r="IJO102" s="450"/>
      <c r="IJP102" s="450"/>
      <c r="IJQ102" s="450"/>
      <c r="IJR102" s="450"/>
      <c r="IJS102" s="450"/>
      <c r="IJT102" s="450"/>
      <c r="IJU102" s="450"/>
      <c r="IJV102" s="450"/>
      <c r="IJW102" s="450"/>
      <c r="IJX102" s="450"/>
      <c r="IJY102" s="450"/>
      <c r="IJZ102" s="450"/>
      <c r="IKA102" s="450"/>
      <c r="IKB102" s="450"/>
      <c r="IKC102" s="450"/>
      <c r="IKD102" s="450"/>
      <c r="IKE102" s="450"/>
      <c r="IKF102" s="450"/>
      <c r="IKG102" s="450"/>
      <c r="IKH102" s="450"/>
      <c r="IKI102" s="450"/>
      <c r="IKJ102" s="450"/>
      <c r="IKK102" s="450"/>
      <c r="IKL102" s="450"/>
      <c r="IKM102" s="450"/>
      <c r="IKN102" s="450"/>
      <c r="IKO102" s="450"/>
      <c r="IKP102" s="450"/>
      <c r="IKQ102" s="450"/>
      <c r="IKR102" s="450"/>
      <c r="IKS102" s="450"/>
      <c r="IKT102" s="450"/>
      <c r="IKU102" s="450"/>
      <c r="IKV102" s="450"/>
      <c r="IKW102" s="450"/>
      <c r="IKX102" s="450"/>
      <c r="IKY102" s="450"/>
      <c r="IKZ102" s="450"/>
      <c r="ILA102" s="450"/>
      <c r="ILB102" s="450"/>
      <c r="ILC102" s="450"/>
      <c r="ILD102" s="450"/>
      <c r="ILE102" s="450"/>
      <c r="ILF102" s="450"/>
      <c r="ILG102" s="450"/>
      <c r="ILH102" s="450"/>
      <c r="ILI102" s="450"/>
      <c r="ILJ102" s="450"/>
      <c r="ILK102" s="450"/>
      <c r="ILL102" s="450"/>
      <c r="ILM102" s="450"/>
      <c r="ILN102" s="450"/>
      <c r="ILO102" s="450"/>
      <c r="ILP102" s="450"/>
      <c r="ILQ102" s="450"/>
      <c r="ILR102" s="450"/>
      <c r="ILS102" s="450"/>
      <c r="ILT102" s="450"/>
      <c r="ILU102" s="450"/>
      <c r="ILV102" s="450"/>
      <c r="ILW102" s="450"/>
      <c r="ILX102" s="450"/>
      <c r="ILY102" s="450"/>
      <c r="ILZ102" s="450"/>
      <c r="IMA102" s="450"/>
      <c r="IMB102" s="450"/>
      <c r="IMC102" s="450"/>
      <c r="IMD102" s="450"/>
      <c r="IME102" s="450"/>
      <c r="IMF102" s="450"/>
      <c r="IMG102" s="450"/>
      <c r="IMH102" s="450"/>
      <c r="IMI102" s="450"/>
      <c r="IMJ102" s="450"/>
      <c r="IMK102" s="450"/>
      <c r="IML102" s="450"/>
      <c r="IMM102" s="450"/>
      <c r="IMN102" s="450"/>
      <c r="IMO102" s="450"/>
      <c r="IMP102" s="450"/>
      <c r="IMQ102" s="450"/>
      <c r="IMR102" s="450"/>
      <c r="IMS102" s="450"/>
      <c r="IMT102" s="450"/>
      <c r="IMU102" s="450"/>
      <c r="IMV102" s="450"/>
      <c r="IMW102" s="450"/>
      <c r="IMX102" s="450"/>
      <c r="IMY102" s="450"/>
      <c r="IMZ102" s="450"/>
      <c r="INA102" s="450"/>
      <c r="INB102" s="450"/>
      <c r="INC102" s="450"/>
      <c r="IND102" s="450"/>
      <c r="INE102" s="450"/>
      <c r="INF102" s="450"/>
      <c r="ING102" s="450"/>
      <c r="INH102" s="450"/>
      <c r="INI102" s="450"/>
      <c r="INJ102" s="450"/>
      <c r="INK102" s="450"/>
      <c r="INL102" s="450"/>
      <c r="INM102" s="450"/>
      <c r="INN102" s="450"/>
      <c r="INO102" s="450"/>
      <c r="INP102" s="450"/>
      <c r="INQ102" s="450"/>
      <c r="INR102" s="450"/>
      <c r="INS102" s="450"/>
      <c r="INT102" s="450"/>
      <c r="INU102" s="450"/>
      <c r="INV102" s="450"/>
      <c r="INW102" s="450"/>
      <c r="INX102" s="450"/>
      <c r="INY102" s="450"/>
      <c r="INZ102" s="450"/>
      <c r="IOA102" s="450"/>
      <c r="IOB102" s="450"/>
      <c r="IOC102" s="450"/>
      <c r="IOD102" s="450"/>
      <c r="IOE102" s="450"/>
      <c r="IOF102" s="450"/>
      <c r="IOG102" s="450"/>
      <c r="IOH102" s="450"/>
      <c r="IOI102" s="450"/>
      <c r="IOJ102" s="450"/>
      <c r="IOK102" s="450"/>
      <c r="IOL102" s="450"/>
      <c r="IOM102" s="450"/>
      <c r="ION102" s="450"/>
      <c r="IOO102" s="450"/>
      <c r="IOP102" s="450"/>
      <c r="IOQ102" s="450"/>
      <c r="IOR102" s="450"/>
      <c r="IOS102" s="450"/>
      <c r="IOT102" s="450"/>
      <c r="IOU102" s="450"/>
      <c r="IOV102" s="450"/>
      <c r="IOW102" s="450"/>
      <c r="IOX102" s="450"/>
      <c r="IOY102" s="450"/>
      <c r="IOZ102" s="450"/>
      <c r="IPA102" s="450"/>
      <c r="IPB102" s="450"/>
      <c r="IPC102" s="450"/>
      <c r="IPD102" s="450"/>
      <c r="IPE102" s="450"/>
      <c r="IPF102" s="450"/>
      <c r="IPG102" s="450"/>
      <c r="IPH102" s="450"/>
      <c r="IPI102" s="450"/>
      <c r="IPJ102" s="450"/>
      <c r="IPK102" s="450"/>
      <c r="IPL102" s="450"/>
      <c r="IPM102" s="450"/>
      <c r="IPN102" s="450"/>
      <c r="IPO102" s="450"/>
      <c r="IPP102" s="450"/>
      <c r="IPQ102" s="450"/>
      <c r="IPR102" s="450"/>
      <c r="IPS102" s="450"/>
      <c r="IPT102" s="450"/>
      <c r="IPU102" s="450"/>
      <c r="IPV102" s="450"/>
      <c r="IPW102" s="450"/>
      <c r="IPX102" s="450"/>
      <c r="IPY102" s="450"/>
      <c r="IPZ102" s="450"/>
      <c r="IQA102" s="450"/>
      <c r="IQB102" s="450"/>
      <c r="IQC102" s="450"/>
      <c r="IQD102" s="450"/>
      <c r="IQE102" s="450"/>
      <c r="IQF102" s="450"/>
      <c r="IQG102" s="450"/>
      <c r="IQH102" s="450"/>
      <c r="IQI102" s="450"/>
      <c r="IQJ102" s="450"/>
      <c r="IQK102" s="450"/>
      <c r="IQL102" s="450"/>
      <c r="IQM102" s="450"/>
      <c r="IQN102" s="450"/>
      <c r="IQO102" s="450"/>
      <c r="IQP102" s="450"/>
      <c r="IQQ102" s="450"/>
      <c r="IQR102" s="450"/>
      <c r="IQS102" s="450"/>
      <c r="IQT102" s="450"/>
      <c r="IQU102" s="450"/>
      <c r="IQV102" s="450"/>
      <c r="IQW102" s="450"/>
      <c r="IQX102" s="450"/>
      <c r="IQY102" s="450"/>
      <c r="IQZ102" s="450"/>
      <c r="IRA102" s="450"/>
      <c r="IRB102" s="450"/>
      <c r="IRC102" s="450"/>
      <c r="IRD102" s="450"/>
      <c r="IRE102" s="450"/>
      <c r="IRF102" s="450"/>
      <c r="IRG102" s="450"/>
      <c r="IRH102" s="450"/>
      <c r="IRI102" s="450"/>
      <c r="IRJ102" s="450"/>
      <c r="IRK102" s="450"/>
      <c r="IRL102" s="450"/>
      <c r="IRM102" s="450"/>
      <c r="IRN102" s="450"/>
      <c r="IRO102" s="450"/>
      <c r="IRP102" s="450"/>
      <c r="IRQ102" s="450"/>
      <c r="IRR102" s="450"/>
      <c r="IRS102" s="450"/>
      <c r="IRT102" s="450"/>
      <c r="IRU102" s="450"/>
      <c r="IRV102" s="450"/>
      <c r="IRW102" s="450"/>
      <c r="IRX102" s="450"/>
      <c r="IRY102" s="450"/>
      <c r="IRZ102" s="450"/>
      <c r="ISA102" s="450"/>
      <c r="ISB102" s="450"/>
      <c r="ISC102" s="450"/>
      <c r="ISD102" s="450"/>
      <c r="ISE102" s="450"/>
      <c r="ISF102" s="450"/>
      <c r="ISG102" s="450"/>
      <c r="ISH102" s="450"/>
      <c r="ISI102" s="450"/>
      <c r="ISJ102" s="450"/>
      <c r="ISK102" s="450"/>
      <c r="ISL102" s="450"/>
      <c r="ISM102" s="450"/>
      <c r="ISN102" s="450"/>
      <c r="ISO102" s="450"/>
      <c r="ISP102" s="450"/>
      <c r="ISQ102" s="450"/>
      <c r="ISR102" s="450"/>
      <c r="ISS102" s="450"/>
      <c r="IST102" s="450"/>
      <c r="ISU102" s="450"/>
      <c r="ISV102" s="450"/>
      <c r="ISW102" s="450"/>
      <c r="ISX102" s="450"/>
      <c r="ISY102" s="450"/>
      <c r="ISZ102" s="450"/>
      <c r="ITA102" s="450"/>
      <c r="ITB102" s="450"/>
      <c r="ITC102" s="450"/>
      <c r="ITD102" s="450"/>
      <c r="ITE102" s="450"/>
      <c r="ITF102" s="450"/>
      <c r="ITG102" s="450"/>
      <c r="ITH102" s="450"/>
      <c r="ITI102" s="450"/>
      <c r="ITJ102" s="450"/>
      <c r="ITK102" s="450"/>
      <c r="ITL102" s="450"/>
      <c r="ITM102" s="450"/>
      <c r="ITN102" s="450"/>
      <c r="ITO102" s="450"/>
      <c r="ITP102" s="450"/>
      <c r="ITQ102" s="450"/>
      <c r="ITR102" s="450"/>
      <c r="ITS102" s="450"/>
      <c r="ITT102" s="450"/>
      <c r="ITU102" s="450"/>
      <c r="ITV102" s="450"/>
      <c r="ITW102" s="450"/>
      <c r="ITX102" s="450"/>
      <c r="ITY102" s="450"/>
      <c r="ITZ102" s="450"/>
      <c r="IUA102" s="450"/>
      <c r="IUB102" s="450"/>
      <c r="IUC102" s="450"/>
      <c r="IUD102" s="450"/>
      <c r="IUE102" s="450"/>
      <c r="IUF102" s="450"/>
      <c r="IUG102" s="450"/>
      <c r="IUH102" s="450"/>
      <c r="IUI102" s="450"/>
      <c r="IUJ102" s="450"/>
      <c r="IUK102" s="450"/>
      <c r="IUL102" s="450"/>
      <c r="IUM102" s="450"/>
      <c r="IUN102" s="450"/>
      <c r="IUO102" s="450"/>
      <c r="IUP102" s="450"/>
      <c r="IUQ102" s="450"/>
      <c r="IUR102" s="450"/>
      <c r="IUS102" s="450"/>
      <c r="IUT102" s="450"/>
      <c r="IUU102" s="450"/>
      <c r="IUV102" s="450"/>
      <c r="IUW102" s="450"/>
      <c r="IUX102" s="450"/>
      <c r="IUY102" s="450"/>
      <c r="IUZ102" s="450"/>
      <c r="IVA102" s="450"/>
      <c r="IVB102" s="450"/>
      <c r="IVC102" s="450"/>
      <c r="IVD102" s="450"/>
      <c r="IVE102" s="450"/>
      <c r="IVF102" s="450"/>
      <c r="IVG102" s="450"/>
      <c r="IVH102" s="450"/>
      <c r="IVI102" s="450"/>
      <c r="IVJ102" s="450"/>
      <c r="IVK102" s="450"/>
      <c r="IVL102" s="450"/>
      <c r="IVM102" s="450"/>
      <c r="IVN102" s="450"/>
      <c r="IVO102" s="450"/>
      <c r="IVP102" s="450"/>
      <c r="IVQ102" s="450"/>
      <c r="IVR102" s="450"/>
      <c r="IVS102" s="450"/>
      <c r="IVT102" s="450"/>
      <c r="IVU102" s="450"/>
      <c r="IVV102" s="450"/>
      <c r="IVW102" s="450"/>
      <c r="IVX102" s="450"/>
      <c r="IVY102" s="450"/>
      <c r="IVZ102" s="450"/>
      <c r="IWA102" s="450"/>
      <c r="IWB102" s="450"/>
      <c r="IWC102" s="450"/>
      <c r="IWD102" s="450"/>
      <c r="IWE102" s="450"/>
      <c r="IWF102" s="450"/>
      <c r="IWG102" s="450"/>
      <c r="IWH102" s="450"/>
      <c r="IWI102" s="450"/>
      <c r="IWJ102" s="450"/>
      <c r="IWK102" s="450"/>
      <c r="IWL102" s="450"/>
      <c r="IWM102" s="450"/>
      <c r="IWN102" s="450"/>
      <c r="IWO102" s="450"/>
      <c r="IWP102" s="450"/>
      <c r="IWQ102" s="450"/>
      <c r="IWR102" s="450"/>
      <c r="IWS102" s="450"/>
      <c r="IWT102" s="450"/>
      <c r="IWU102" s="450"/>
      <c r="IWV102" s="450"/>
      <c r="IWW102" s="450"/>
      <c r="IWX102" s="450"/>
      <c r="IWY102" s="450"/>
      <c r="IWZ102" s="450"/>
      <c r="IXA102" s="450"/>
      <c r="IXB102" s="450"/>
      <c r="IXC102" s="450"/>
      <c r="IXD102" s="450"/>
      <c r="IXE102" s="450"/>
      <c r="IXF102" s="450"/>
      <c r="IXG102" s="450"/>
      <c r="IXH102" s="450"/>
      <c r="IXI102" s="450"/>
      <c r="IXJ102" s="450"/>
      <c r="IXK102" s="450"/>
      <c r="IXL102" s="450"/>
      <c r="IXM102" s="450"/>
      <c r="IXN102" s="450"/>
      <c r="IXO102" s="450"/>
      <c r="IXP102" s="450"/>
      <c r="IXQ102" s="450"/>
      <c r="IXR102" s="450"/>
      <c r="IXS102" s="450"/>
      <c r="IXT102" s="450"/>
      <c r="IXU102" s="450"/>
      <c r="IXV102" s="450"/>
      <c r="IXW102" s="450"/>
      <c r="IXX102" s="450"/>
      <c r="IXY102" s="450"/>
      <c r="IXZ102" s="450"/>
      <c r="IYA102" s="450"/>
      <c r="IYB102" s="450"/>
      <c r="IYC102" s="450"/>
      <c r="IYD102" s="450"/>
      <c r="IYE102" s="450"/>
      <c r="IYF102" s="450"/>
      <c r="IYG102" s="450"/>
      <c r="IYH102" s="450"/>
      <c r="IYI102" s="450"/>
      <c r="IYJ102" s="450"/>
      <c r="IYK102" s="450"/>
      <c r="IYL102" s="450"/>
      <c r="IYM102" s="450"/>
      <c r="IYN102" s="450"/>
      <c r="IYO102" s="450"/>
      <c r="IYP102" s="450"/>
      <c r="IYQ102" s="450"/>
      <c r="IYR102" s="450"/>
      <c r="IYS102" s="450"/>
      <c r="IYT102" s="450"/>
      <c r="IYU102" s="450"/>
      <c r="IYV102" s="450"/>
      <c r="IYW102" s="450"/>
      <c r="IYX102" s="450"/>
      <c r="IYY102" s="450"/>
      <c r="IYZ102" s="450"/>
      <c r="IZA102" s="450"/>
      <c r="IZB102" s="450"/>
      <c r="IZC102" s="450"/>
      <c r="IZD102" s="450"/>
      <c r="IZE102" s="450"/>
      <c r="IZF102" s="450"/>
      <c r="IZG102" s="450"/>
      <c r="IZH102" s="450"/>
      <c r="IZI102" s="450"/>
      <c r="IZJ102" s="450"/>
      <c r="IZK102" s="450"/>
      <c r="IZL102" s="450"/>
      <c r="IZM102" s="450"/>
      <c r="IZN102" s="450"/>
      <c r="IZO102" s="450"/>
      <c r="IZP102" s="450"/>
      <c r="IZQ102" s="450"/>
      <c r="IZR102" s="450"/>
      <c r="IZS102" s="450"/>
      <c r="IZT102" s="450"/>
      <c r="IZU102" s="450"/>
      <c r="IZV102" s="450"/>
      <c r="IZW102" s="450"/>
      <c r="IZX102" s="450"/>
      <c r="IZY102" s="450"/>
      <c r="IZZ102" s="450"/>
      <c r="JAA102" s="450"/>
      <c r="JAB102" s="450"/>
      <c r="JAC102" s="450"/>
      <c r="JAD102" s="450"/>
      <c r="JAE102" s="450"/>
      <c r="JAF102" s="450"/>
      <c r="JAG102" s="450"/>
      <c r="JAH102" s="450"/>
      <c r="JAI102" s="450"/>
      <c r="JAJ102" s="450"/>
      <c r="JAK102" s="450"/>
      <c r="JAL102" s="450"/>
      <c r="JAM102" s="450"/>
      <c r="JAN102" s="450"/>
      <c r="JAO102" s="450"/>
      <c r="JAP102" s="450"/>
      <c r="JAQ102" s="450"/>
      <c r="JAR102" s="450"/>
      <c r="JAS102" s="450"/>
      <c r="JAT102" s="450"/>
      <c r="JAU102" s="450"/>
      <c r="JAV102" s="450"/>
      <c r="JAW102" s="450"/>
      <c r="JAX102" s="450"/>
      <c r="JAY102" s="450"/>
      <c r="JAZ102" s="450"/>
      <c r="JBA102" s="450"/>
      <c r="JBB102" s="450"/>
      <c r="JBC102" s="450"/>
      <c r="JBD102" s="450"/>
      <c r="JBE102" s="450"/>
      <c r="JBF102" s="450"/>
      <c r="JBG102" s="450"/>
      <c r="JBH102" s="450"/>
      <c r="JBI102" s="450"/>
      <c r="JBJ102" s="450"/>
      <c r="JBK102" s="450"/>
      <c r="JBL102" s="450"/>
      <c r="JBM102" s="450"/>
      <c r="JBN102" s="450"/>
      <c r="JBO102" s="450"/>
      <c r="JBP102" s="450"/>
      <c r="JBQ102" s="450"/>
      <c r="JBR102" s="450"/>
      <c r="JBS102" s="450"/>
      <c r="JBT102" s="450"/>
      <c r="JBU102" s="450"/>
      <c r="JBV102" s="450"/>
      <c r="JBW102" s="450"/>
      <c r="JBX102" s="450"/>
      <c r="JBY102" s="450"/>
      <c r="JBZ102" s="450"/>
      <c r="JCA102" s="450"/>
      <c r="JCB102" s="450"/>
      <c r="JCC102" s="450"/>
      <c r="JCD102" s="450"/>
      <c r="JCE102" s="450"/>
      <c r="JCF102" s="450"/>
      <c r="JCG102" s="450"/>
      <c r="JCH102" s="450"/>
      <c r="JCI102" s="450"/>
      <c r="JCJ102" s="450"/>
      <c r="JCK102" s="450"/>
      <c r="JCL102" s="450"/>
      <c r="JCM102" s="450"/>
      <c r="JCN102" s="450"/>
      <c r="JCO102" s="450"/>
      <c r="JCP102" s="450"/>
      <c r="JCQ102" s="450"/>
      <c r="JCR102" s="450"/>
      <c r="JCS102" s="450"/>
      <c r="JCT102" s="450"/>
      <c r="JCU102" s="450"/>
      <c r="JCV102" s="450"/>
      <c r="JCW102" s="450"/>
      <c r="JCX102" s="450"/>
      <c r="JCY102" s="450"/>
      <c r="JCZ102" s="450"/>
      <c r="JDA102" s="450"/>
      <c r="JDB102" s="450"/>
      <c r="JDC102" s="450"/>
      <c r="JDD102" s="450"/>
      <c r="JDE102" s="450"/>
      <c r="JDF102" s="450"/>
      <c r="JDG102" s="450"/>
      <c r="JDH102" s="450"/>
      <c r="JDI102" s="450"/>
      <c r="JDJ102" s="450"/>
      <c r="JDK102" s="450"/>
      <c r="JDL102" s="450"/>
      <c r="JDM102" s="450"/>
      <c r="JDN102" s="450"/>
      <c r="JDO102" s="450"/>
      <c r="JDP102" s="450"/>
      <c r="JDQ102" s="450"/>
      <c r="JDR102" s="450"/>
      <c r="JDS102" s="450"/>
      <c r="JDT102" s="450"/>
      <c r="JDU102" s="450"/>
      <c r="JDV102" s="450"/>
      <c r="JDW102" s="450"/>
      <c r="JDX102" s="450"/>
      <c r="JDY102" s="450"/>
      <c r="JDZ102" s="450"/>
      <c r="JEA102" s="450"/>
      <c r="JEB102" s="450"/>
      <c r="JEC102" s="450"/>
      <c r="JED102" s="450"/>
      <c r="JEE102" s="450"/>
      <c r="JEF102" s="450"/>
      <c r="JEG102" s="450"/>
      <c r="JEH102" s="450"/>
      <c r="JEI102" s="450"/>
      <c r="JEJ102" s="450"/>
      <c r="JEK102" s="450"/>
      <c r="JEL102" s="450"/>
      <c r="JEM102" s="450"/>
      <c r="JEN102" s="450"/>
      <c r="JEO102" s="450"/>
      <c r="JEP102" s="450"/>
      <c r="JEQ102" s="450"/>
      <c r="JER102" s="450"/>
      <c r="JES102" s="450"/>
      <c r="JET102" s="450"/>
      <c r="JEU102" s="450"/>
      <c r="JEV102" s="450"/>
      <c r="JEW102" s="450"/>
      <c r="JEX102" s="450"/>
      <c r="JEY102" s="450"/>
      <c r="JEZ102" s="450"/>
      <c r="JFA102" s="450"/>
      <c r="JFB102" s="450"/>
      <c r="JFC102" s="450"/>
      <c r="JFD102" s="450"/>
      <c r="JFE102" s="450"/>
      <c r="JFF102" s="450"/>
      <c r="JFG102" s="450"/>
      <c r="JFH102" s="450"/>
      <c r="JFI102" s="450"/>
      <c r="JFJ102" s="450"/>
      <c r="JFK102" s="450"/>
      <c r="JFL102" s="450"/>
      <c r="JFM102" s="450"/>
      <c r="JFN102" s="450"/>
      <c r="JFO102" s="450"/>
      <c r="JFP102" s="450"/>
      <c r="JFQ102" s="450"/>
      <c r="JFR102" s="450"/>
      <c r="JFS102" s="450"/>
      <c r="JFT102" s="450"/>
      <c r="JFU102" s="450"/>
      <c r="JFV102" s="450"/>
      <c r="JFW102" s="450"/>
      <c r="JFX102" s="450"/>
      <c r="JFY102" s="450"/>
      <c r="JFZ102" s="450"/>
      <c r="JGA102" s="450"/>
      <c r="JGB102" s="450"/>
      <c r="JGC102" s="450"/>
      <c r="JGD102" s="450"/>
      <c r="JGE102" s="450"/>
      <c r="JGF102" s="450"/>
      <c r="JGG102" s="450"/>
      <c r="JGH102" s="450"/>
      <c r="JGI102" s="450"/>
      <c r="JGJ102" s="450"/>
      <c r="JGK102" s="450"/>
      <c r="JGL102" s="450"/>
      <c r="JGM102" s="450"/>
      <c r="JGN102" s="450"/>
      <c r="JGO102" s="450"/>
      <c r="JGP102" s="450"/>
      <c r="JGQ102" s="450"/>
      <c r="JGR102" s="450"/>
      <c r="JGS102" s="450"/>
      <c r="JGT102" s="450"/>
      <c r="JGU102" s="450"/>
      <c r="JGV102" s="450"/>
      <c r="JGW102" s="450"/>
      <c r="JGX102" s="450"/>
      <c r="JGY102" s="450"/>
      <c r="JGZ102" s="450"/>
      <c r="JHA102" s="450"/>
      <c r="JHB102" s="450"/>
      <c r="JHC102" s="450"/>
      <c r="JHD102" s="450"/>
      <c r="JHE102" s="450"/>
      <c r="JHF102" s="450"/>
      <c r="JHG102" s="450"/>
      <c r="JHH102" s="450"/>
      <c r="JHI102" s="450"/>
      <c r="JHJ102" s="450"/>
      <c r="JHK102" s="450"/>
      <c r="JHL102" s="450"/>
      <c r="JHM102" s="450"/>
      <c r="JHN102" s="450"/>
      <c r="JHO102" s="450"/>
      <c r="JHP102" s="450"/>
      <c r="JHQ102" s="450"/>
      <c r="JHR102" s="450"/>
      <c r="JHS102" s="450"/>
      <c r="JHT102" s="450"/>
      <c r="JHU102" s="450"/>
      <c r="JHV102" s="450"/>
      <c r="JHW102" s="450"/>
      <c r="JHX102" s="450"/>
      <c r="JHY102" s="450"/>
      <c r="JHZ102" s="450"/>
      <c r="JIA102" s="450"/>
      <c r="JIB102" s="450"/>
      <c r="JIC102" s="450"/>
      <c r="JID102" s="450"/>
      <c r="JIE102" s="450"/>
      <c r="JIF102" s="450"/>
      <c r="JIG102" s="450"/>
      <c r="JIH102" s="450"/>
      <c r="JII102" s="450"/>
      <c r="JIJ102" s="450"/>
      <c r="JIK102" s="450"/>
      <c r="JIL102" s="450"/>
      <c r="JIM102" s="450"/>
      <c r="JIN102" s="450"/>
      <c r="JIO102" s="450"/>
      <c r="JIP102" s="450"/>
      <c r="JIQ102" s="450"/>
      <c r="JIR102" s="450"/>
      <c r="JIS102" s="450"/>
      <c r="JIT102" s="450"/>
      <c r="JIU102" s="450"/>
      <c r="JIV102" s="450"/>
      <c r="JIW102" s="450"/>
      <c r="JIX102" s="450"/>
      <c r="JIY102" s="450"/>
      <c r="JIZ102" s="450"/>
      <c r="JJA102" s="450"/>
      <c r="JJB102" s="450"/>
      <c r="JJC102" s="450"/>
      <c r="JJD102" s="450"/>
      <c r="JJE102" s="450"/>
      <c r="JJF102" s="450"/>
      <c r="JJG102" s="450"/>
      <c r="JJH102" s="450"/>
      <c r="JJI102" s="450"/>
      <c r="JJJ102" s="450"/>
      <c r="JJK102" s="450"/>
      <c r="JJL102" s="450"/>
      <c r="JJM102" s="450"/>
      <c r="JJN102" s="450"/>
      <c r="JJO102" s="450"/>
      <c r="JJP102" s="450"/>
      <c r="JJQ102" s="450"/>
      <c r="JJR102" s="450"/>
      <c r="JJS102" s="450"/>
      <c r="JJT102" s="450"/>
      <c r="JJU102" s="450"/>
      <c r="JJV102" s="450"/>
      <c r="JJW102" s="450"/>
      <c r="JJX102" s="450"/>
      <c r="JJY102" s="450"/>
      <c r="JJZ102" s="450"/>
      <c r="JKA102" s="450"/>
      <c r="JKB102" s="450"/>
      <c r="JKC102" s="450"/>
      <c r="JKD102" s="450"/>
      <c r="JKE102" s="450"/>
      <c r="JKF102" s="450"/>
      <c r="JKG102" s="450"/>
      <c r="JKH102" s="450"/>
      <c r="JKI102" s="450"/>
      <c r="JKJ102" s="450"/>
      <c r="JKK102" s="450"/>
      <c r="JKL102" s="450"/>
      <c r="JKM102" s="450"/>
      <c r="JKN102" s="450"/>
      <c r="JKO102" s="450"/>
      <c r="JKP102" s="450"/>
      <c r="JKQ102" s="450"/>
      <c r="JKR102" s="450"/>
      <c r="JKS102" s="450"/>
      <c r="JKT102" s="450"/>
      <c r="JKU102" s="450"/>
      <c r="JKV102" s="450"/>
      <c r="JKW102" s="450"/>
      <c r="JKX102" s="450"/>
      <c r="JKY102" s="450"/>
      <c r="JKZ102" s="450"/>
      <c r="JLA102" s="450"/>
      <c r="JLB102" s="450"/>
      <c r="JLC102" s="450"/>
      <c r="JLD102" s="450"/>
      <c r="JLE102" s="450"/>
      <c r="JLF102" s="450"/>
      <c r="JLG102" s="450"/>
      <c r="JLH102" s="450"/>
      <c r="JLI102" s="450"/>
      <c r="JLJ102" s="450"/>
      <c r="JLK102" s="450"/>
      <c r="JLL102" s="450"/>
      <c r="JLM102" s="450"/>
      <c r="JLN102" s="450"/>
      <c r="JLO102" s="450"/>
      <c r="JLP102" s="450"/>
      <c r="JLQ102" s="450"/>
      <c r="JLR102" s="450"/>
      <c r="JLS102" s="450"/>
      <c r="JLT102" s="450"/>
      <c r="JLU102" s="450"/>
      <c r="JLV102" s="450"/>
      <c r="JLW102" s="450"/>
      <c r="JLX102" s="450"/>
      <c r="JLY102" s="450"/>
      <c r="JLZ102" s="450"/>
      <c r="JMA102" s="450"/>
      <c r="JMB102" s="450"/>
      <c r="JMC102" s="450"/>
      <c r="JMD102" s="450"/>
      <c r="JME102" s="450"/>
      <c r="JMF102" s="450"/>
      <c r="JMG102" s="450"/>
      <c r="JMH102" s="450"/>
      <c r="JMI102" s="450"/>
      <c r="JMJ102" s="450"/>
      <c r="JMK102" s="450"/>
      <c r="JML102" s="450"/>
      <c r="JMM102" s="450"/>
      <c r="JMN102" s="450"/>
      <c r="JMO102" s="450"/>
      <c r="JMP102" s="450"/>
      <c r="JMQ102" s="450"/>
      <c r="JMR102" s="450"/>
      <c r="JMS102" s="450"/>
      <c r="JMT102" s="450"/>
      <c r="JMU102" s="450"/>
      <c r="JMV102" s="450"/>
      <c r="JMW102" s="450"/>
      <c r="JMX102" s="450"/>
      <c r="JMY102" s="450"/>
      <c r="JMZ102" s="450"/>
      <c r="JNA102" s="450"/>
      <c r="JNB102" s="450"/>
      <c r="JNC102" s="450"/>
      <c r="JND102" s="450"/>
      <c r="JNE102" s="450"/>
      <c r="JNF102" s="450"/>
      <c r="JNG102" s="450"/>
      <c r="JNH102" s="450"/>
      <c r="JNI102" s="450"/>
      <c r="JNJ102" s="450"/>
      <c r="JNK102" s="450"/>
      <c r="JNL102" s="450"/>
      <c r="JNM102" s="450"/>
      <c r="JNN102" s="450"/>
      <c r="JNO102" s="450"/>
      <c r="JNP102" s="450"/>
      <c r="JNQ102" s="450"/>
      <c r="JNR102" s="450"/>
      <c r="JNS102" s="450"/>
      <c r="JNT102" s="450"/>
      <c r="JNU102" s="450"/>
      <c r="JNV102" s="450"/>
      <c r="JNW102" s="450"/>
      <c r="JNX102" s="450"/>
      <c r="JNY102" s="450"/>
      <c r="JNZ102" s="450"/>
      <c r="JOA102" s="450"/>
      <c r="JOB102" s="450"/>
      <c r="JOC102" s="450"/>
      <c r="JOD102" s="450"/>
      <c r="JOE102" s="450"/>
      <c r="JOF102" s="450"/>
      <c r="JOG102" s="450"/>
      <c r="JOH102" s="450"/>
      <c r="JOI102" s="450"/>
      <c r="JOJ102" s="450"/>
      <c r="JOK102" s="450"/>
      <c r="JOL102" s="450"/>
      <c r="JOM102" s="450"/>
      <c r="JON102" s="450"/>
      <c r="JOO102" s="450"/>
      <c r="JOP102" s="450"/>
      <c r="JOQ102" s="450"/>
      <c r="JOR102" s="450"/>
      <c r="JOS102" s="450"/>
      <c r="JOT102" s="450"/>
      <c r="JOU102" s="450"/>
      <c r="JOV102" s="450"/>
      <c r="JOW102" s="450"/>
      <c r="JOX102" s="450"/>
      <c r="JOY102" s="450"/>
      <c r="JOZ102" s="450"/>
      <c r="JPA102" s="450"/>
      <c r="JPB102" s="450"/>
      <c r="JPC102" s="450"/>
      <c r="JPD102" s="450"/>
      <c r="JPE102" s="450"/>
      <c r="JPF102" s="450"/>
      <c r="JPG102" s="450"/>
      <c r="JPH102" s="450"/>
      <c r="JPI102" s="450"/>
      <c r="JPJ102" s="450"/>
      <c r="JPK102" s="450"/>
      <c r="JPL102" s="450"/>
      <c r="JPM102" s="450"/>
      <c r="JPN102" s="450"/>
      <c r="JPO102" s="450"/>
      <c r="JPP102" s="450"/>
      <c r="JPQ102" s="450"/>
      <c r="JPR102" s="450"/>
      <c r="JPS102" s="450"/>
      <c r="JPT102" s="450"/>
      <c r="JPU102" s="450"/>
      <c r="JPV102" s="450"/>
      <c r="JPW102" s="450"/>
      <c r="JPX102" s="450"/>
      <c r="JPY102" s="450"/>
      <c r="JPZ102" s="450"/>
      <c r="JQA102" s="450"/>
      <c r="JQB102" s="450"/>
      <c r="JQC102" s="450"/>
      <c r="JQD102" s="450"/>
      <c r="JQE102" s="450"/>
      <c r="JQF102" s="450"/>
      <c r="JQG102" s="450"/>
      <c r="JQH102" s="450"/>
      <c r="JQI102" s="450"/>
      <c r="JQJ102" s="450"/>
      <c r="JQK102" s="450"/>
      <c r="JQL102" s="450"/>
      <c r="JQM102" s="450"/>
      <c r="JQN102" s="450"/>
      <c r="JQO102" s="450"/>
      <c r="JQP102" s="450"/>
      <c r="JQQ102" s="450"/>
      <c r="JQR102" s="450"/>
      <c r="JQS102" s="450"/>
      <c r="JQT102" s="450"/>
      <c r="JQU102" s="450"/>
      <c r="JQV102" s="450"/>
      <c r="JQW102" s="450"/>
      <c r="JQX102" s="450"/>
      <c r="JQY102" s="450"/>
      <c r="JQZ102" s="450"/>
      <c r="JRA102" s="450"/>
      <c r="JRB102" s="450"/>
      <c r="JRC102" s="450"/>
      <c r="JRD102" s="450"/>
      <c r="JRE102" s="450"/>
      <c r="JRF102" s="450"/>
      <c r="JRG102" s="450"/>
      <c r="JRH102" s="450"/>
      <c r="JRI102" s="450"/>
      <c r="JRJ102" s="450"/>
      <c r="JRK102" s="450"/>
      <c r="JRL102" s="450"/>
      <c r="JRM102" s="450"/>
      <c r="JRN102" s="450"/>
      <c r="JRO102" s="450"/>
      <c r="JRP102" s="450"/>
      <c r="JRQ102" s="450"/>
      <c r="JRR102" s="450"/>
      <c r="JRS102" s="450"/>
      <c r="JRT102" s="450"/>
      <c r="JRU102" s="450"/>
      <c r="JRV102" s="450"/>
      <c r="JRW102" s="450"/>
      <c r="JRX102" s="450"/>
      <c r="JRY102" s="450"/>
      <c r="JRZ102" s="450"/>
      <c r="JSA102" s="450"/>
      <c r="JSB102" s="450"/>
      <c r="JSC102" s="450"/>
      <c r="JSD102" s="450"/>
      <c r="JSE102" s="450"/>
      <c r="JSF102" s="450"/>
      <c r="JSG102" s="450"/>
      <c r="JSH102" s="450"/>
      <c r="JSI102" s="450"/>
      <c r="JSJ102" s="450"/>
      <c r="JSK102" s="450"/>
      <c r="JSL102" s="450"/>
      <c r="JSM102" s="450"/>
      <c r="JSN102" s="450"/>
      <c r="JSO102" s="450"/>
      <c r="JSP102" s="450"/>
      <c r="JSQ102" s="450"/>
      <c r="JSR102" s="450"/>
      <c r="JSS102" s="450"/>
      <c r="JST102" s="450"/>
      <c r="JSU102" s="450"/>
      <c r="JSV102" s="450"/>
      <c r="JSW102" s="450"/>
      <c r="JSX102" s="450"/>
      <c r="JSY102" s="450"/>
      <c r="JSZ102" s="450"/>
      <c r="JTA102" s="450"/>
      <c r="JTB102" s="450"/>
      <c r="JTC102" s="450"/>
      <c r="JTD102" s="450"/>
      <c r="JTE102" s="450"/>
      <c r="JTF102" s="450"/>
      <c r="JTG102" s="450"/>
      <c r="JTH102" s="450"/>
      <c r="JTI102" s="450"/>
      <c r="JTJ102" s="450"/>
      <c r="JTK102" s="450"/>
      <c r="JTL102" s="450"/>
      <c r="JTM102" s="450"/>
      <c r="JTN102" s="450"/>
      <c r="JTO102" s="450"/>
      <c r="JTP102" s="450"/>
      <c r="JTQ102" s="450"/>
      <c r="JTR102" s="450"/>
      <c r="JTS102" s="450"/>
      <c r="JTT102" s="450"/>
      <c r="JTU102" s="450"/>
      <c r="JTV102" s="450"/>
      <c r="JTW102" s="450"/>
      <c r="JTX102" s="450"/>
      <c r="JTY102" s="450"/>
      <c r="JTZ102" s="450"/>
      <c r="JUA102" s="450"/>
      <c r="JUB102" s="450"/>
      <c r="JUC102" s="450"/>
      <c r="JUD102" s="450"/>
      <c r="JUE102" s="450"/>
      <c r="JUF102" s="450"/>
      <c r="JUG102" s="450"/>
      <c r="JUH102" s="450"/>
      <c r="JUI102" s="450"/>
      <c r="JUJ102" s="450"/>
      <c r="JUK102" s="450"/>
      <c r="JUL102" s="450"/>
      <c r="JUM102" s="450"/>
      <c r="JUN102" s="450"/>
      <c r="JUO102" s="450"/>
      <c r="JUP102" s="450"/>
      <c r="JUQ102" s="450"/>
      <c r="JUR102" s="450"/>
      <c r="JUS102" s="450"/>
      <c r="JUT102" s="450"/>
      <c r="JUU102" s="450"/>
      <c r="JUV102" s="450"/>
      <c r="JUW102" s="450"/>
      <c r="JUX102" s="450"/>
      <c r="JUY102" s="450"/>
      <c r="JUZ102" s="450"/>
      <c r="JVA102" s="450"/>
      <c r="JVB102" s="450"/>
      <c r="JVC102" s="450"/>
      <c r="JVD102" s="450"/>
      <c r="JVE102" s="450"/>
      <c r="JVF102" s="450"/>
      <c r="JVG102" s="450"/>
      <c r="JVH102" s="450"/>
      <c r="JVI102" s="450"/>
      <c r="JVJ102" s="450"/>
      <c r="JVK102" s="450"/>
      <c r="JVL102" s="450"/>
      <c r="JVM102" s="450"/>
      <c r="JVN102" s="450"/>
      <c r="JVO102" s="450"/>
      <c r="JVP102" s="450"/>
      <c r="JVQ102" s="450"/>
      <c r="JVR102" s="450"/>
      <c r="JVS102" s="450"/>
      <c r="JVT102" s="450"/>
      <c r="JVU102" s="450"/>
      <c r="JVV102" s="450"/>
      <c r="JVW102" s="450"/>
      <c r="JVX102" s="450"/>
      <c r="JVY102" s="450"/>
      <c r="JVZ102" s="450"/>
      <c r="JWA102" s="450"/>
      <c r="JWB102" s="450"/>
      <c r="JWC102" s="450"/>
      <c r="JWD102" s="450"/>
      <c r="JWE102" s="450"/>
      <c r="JWF102" s="450"/>
      <c r="JWG102" s="450"/>
      <c r="JWH102" s="450"/>
      <c r="JWI102" s="450"/>
      <c r="JWJ102" s="450"/>
      <c r="JWK102" s="450"/>
      <c r="JWL102" s="450"/>
      <c r="JWM102" s="450"/>
      <c r="JWN102" s="450"/>
      <c r="JWO102" s="450"/>
      <c r="JWP102" s="450"/>
      <c r="JWQ102" s="450"/>
      <c r="JWR102" s="450"/>
      <c r="JWS102" s="450"/>
      <c r="JWT102" s="450"/>
      <c r="JWU102" s="450"/>
      <c r="JWV102" s="450"/>
      <c r="JWW102" s="450"/>
      <c r="JWX102" s="450"/>
      <c r="JWY102" s="450"/>
      <c r="JWZ102" s="450"/>
      <c r="JXA102" s="450"/>
      <c r="JXB102" s="450"/>
      <c r="JXC102" s="450"/>
      <c r="JXD102" s="450"/>
      <c r="JXE102" s="450"/>
      <c r="JXF102" s="450"/>
      <c r="JXG102" s="450"/>
      <c r="JXH102" s="450"/>
      <c r="JXI102" s="450"/>
      <c r="JXJ102" s="450"/>
      <c r="JXK102" s="450"/>
      <c r="JXL102" s="450"/>
      <c r="JXM102" s="450"/>
      <c r="JXN102" s="450"/>
      <c r="JXO102" s="450"/>
      <c r="JXP102" s="450"/>
      <c r="JXQ102" s="450"/>
      <c r="JXR102" s="450"/>
      <c r="JXS102" s="450"/>
      <c r="JXT102" s="450"/>
      <c r="JXU102" s="450"/>
      <c r="JXV102" s="450"/>
      <c r="JXW102" s="450"/>
      <c r="JXX102" s="450"/>
      <c r="JXY102" s="450"/>
      <c r="JXZ102" s="450"/>
      <c r="JYA102" s="450"/>
      <c r="JYB102" s="450"/>
      <c r="JYC102" s="450"/>
      <c r="JYD102" s="450"/>
      <c r="JYE102" s="450"/>
      <c r="JYF102" s="450"/>
      <c r="JYG102" s="450"/>
      <c r="JYH102" s="450"/>
      <c r="JYI102" s="450"/>
      <c r="JYJ102" s="450"/>
      <c r="JYK102" s="450"/>
      <c r="JYL102" s="450"/>
      <c r="JYM102" s="450"/>
      <c r="JYN102" s="450"/>
      <c r="JYO102" s="450"/>
      <c r="JYP102" s="450"/>
      <c r="JYQ102" s="450"/>
      <c r="JYR102" s="450"/>
      <c r="JYS102" s="450"/>
      <c r="JYT102" s="450"/>
      <c r="JYU102" s="450"/>
      <c r="JYV102" s="450"/>
      <c r="JYW102" s="450"/>
      <c r="JYX102" s="450"/>
      <c r="JYY102" s="450"/>
      <c r="JYZ102" s="450"/>
      <c r="JZA102" s="450"/>
      <c r="JZB102" s="450"/>
      <c r="JZC102" s="450"/>
      <c r="JZD102" s="450"/>
      <c r="JZE102" s="450"/>
      <c r="JZF102" s="450"/>
      <c r="JZG102" s="450"/>
      <c r="JZH102" s="450"/>
      <c r="JZI102" s="450"/>
      <c r="JZJ102" s="450"/>
      <c r="JZK102" s="450"/>
      <c r="JZL102" s="450"/>
      <c r="JZM102" s="450"/>
      <c r="JZN102" s="450"/>
      <c r="JZO102" s="450"/>
      <c r="JZP102" s="450"/>
      <c r="JZQ102" s="450"/>
      <c r="JZR102" s="450"/>
      <c r="JZS102" s="450"/>
      <c r="JZT102" s="450"/>
      <c r="JZU102" s="450"/>
      <c r="JZV102" s="450"/>
      <c r="JZW102" s="450"/>
      <c r="JZX102" s="450"/>
      <c r="JZY102" s="450"/>
      <c r="JZZ102" s="450"/>
      <c r="KAA102" s="450"/>
      <c r="KAB102" s="450"/>
      <c r="KAC102" s="450"/>
      <c r="KAD102" s="450"/>
      <c r="KAE102" s="450"/>
      <c r="KAF102" s="450"/>
      <c r="KAG102" s="450"/>
      <c r="KAH102" s="450"/>
      <c r="KAI102" s="450"/>
      <c r="KAJ102" s="450"/>
      <c r="KAK102" s="450"/>
      <c r="KAL102" s="450"/>
      <c r="KAM102" s="450"/>
      <c r="KAN102" s="450"/>
      <c r="KAO102" s="450"/>
      <c r="KAP102" s="450"/>
      <c r="KAQ102" s="450"/>
      <c r="KAR102" s="450"/>
      <c r="KAS102" s="450"/>
      <c r="KAT102" s="450"/>
      <c r="KAU102" s="450"/>
      <c r="KAV102" s="450"/>
      <c r="KAW102" s="450"/>
      <c r="KAX102" s="450"/>
      <c r="KAY102" s="450"/>
      <c r="KAZ102" s="450"/>
      <c r="KBA102" s="450"/>
      <c r="KBB102" s="450"/>
      <c r="KBC102" s="450"/>
      <c r="KBD102" s="450"/>
      <c r="KBE102" s="450"/>
      <c r="KBF102" s="450"/>
      <c r="KBG102" s="450"/>
      <c r="KBH102" s="450"/>
      <c r="KBI102" s="450"/>
      <c r="KBJ102" s="450"/>
      <c r="KBK102" s="450"/>
      <c r="KBL102" s="450"/>
      <c r="KBM102" s="450"/>
      <c r="KBN102" s="450"/>
      <c r="KBO102" s="450"/>
      <c r="KBP102" s="450"/>
      <c r="KBQ102" s="450"/>
      <c r="KBR102" s="450"/>
      <c r="KBS102" s="450"/>
      <c r="KBT102" s="450"/>
      <c r="KBU102" s="450"/>
      <c r="KBV102" s="450"/>
      <c r="KBW102" s="450"/>
      <c r="KBX102" s="450"/>
      <c r="KBY102" s="450"/>
      <c r="KBZ102" s="450"/>
      <c r="KCA102" s="450"/>
      <c r="KCB102" s="450"/>
      <c r="KCC102" s="450"/>
      <c r="KCD102" s="450"/>
      <c r="KCE102" s="450"/>
      <c r="KCF102" s="450"/>
      <c r="KCG102" s="450"/>
      <c r="KCH102" s="450"/>
      <c r="KCI102" s="450"/>
      <c r="KCJ102" s="450"/>
      <c r="KCK102" s="450"/>
      <c r="KCL102" s="450"/>
      <c r="KCM102" s="450"/>
      <c r="KCN102" s="450"/>
      <c r="KCO102" s="450"/>
      <c r="KCP102" s="450"/>
      <c r="KCQ102" s="450"/>
      <c r="KCR102" s="450"/>
      <c r="KCS102" s="450"/>
      <c r="KCT102" s="450"/>
      <c r="KCU102" s="450"/>
      <c r="KCV102" s="450"/>
      <c r="KCW102" s="450"/>
      <c r="KCX102" s="450"/>
      <c r="KCY102" s="450"/>
      <c r="KCZ102" s="450"/>
      <c r="KDA102" s="450"/>
      <c r="KDB102" s="450"/>
      <c r="KDC102" s="450"/>
      <c r="KDD102" s="450"/>
      <c r="KDE102" s="450"/>
      <c r="KDF102" s="450"/>
      <c r="KDG102" s="450"/>
      <c r="KDH102" s="450"/>
      <c r="KDI102" s="450"/>
      <c r="KDJ102" s="450"/>
      <c r="KDK102" s="450"/>
      <c r="KDL102" s="450"/>
      <c r="KDM102" s="450"/>
      <c r="KDN102" s="450"/>
      <c r="KDO102" s="450"/>
      <c r="KDP102" s="450"/>
      <c r="KDQ102" s="450"/>
      <c r="KDR102" s="450"/>
      <c r="KDS102" s="450"/>
      <c r="KDT102" s="450"/>
      <c r="KDU102" s="450"/>
      <c r="KDV102" s="450"/>
      <c r="KDW102" s="450"/>
      <c r="KDX102" s="450"/>
      <c r="KDY102" s="450"/>
      <c r="KDZ102" s="450"/>
      <c r="KEA102" s="450"/>
      <c r="KEB102" s="450"/>
      <c r="KEC102" s="450"/>
      <c r="KED102" s="450"/>
      <c r="KEE102" s="450"/>
      <c r="KEF102" s="450"/>
      <c r="KEG102" s="450"/>
      <c r="KEH102" s="450"/>
      <c r="KEI102" s="450"/>
      <c r="KEJ102" s="450"/>
      <c r="KEK102" s="450"/>
      <c r="KEL102" s="450"/>
      <c r="KEM102" s="450"/>
      <c r="KEN102" s="450"/>
      <c r="KEO102" s="450"/>
      <c r="KEP102" s="450"/>
      <c r="KEQ102" s="450"/>
      <c r="KER102" s="450"/>
      <c r="KES102" s="450"/>
      <c r="KET102" s="450"/>
      <c r="KEU102" s="450"/>
      <c r="KEV102" s="450"/>
      <c r="KEW102" s="450"/>
      <c r="KEX102" s="450"/>
      <c r="KEY102" s="450"/>
      <c r="KEZ102" s="450"/>
      <c r="KFA102" s="450"/>
      <c r="KFB102" s="450"/>
      <c r="KFC102" s="450"/>
      <c r="KFD102" s="450"/>
      <c r="KFE102" s="450"/>
      <c r="KFF102" s="450"/>
      <c r="KFG102" s="450"/>
      <c r="KFH102" s="450"/>
      <c r="KFI102" s="450"/>
      <c r="KFJ102" s="450"/>
      <c r="KFK102" s="450"/>
      <c r="KFL102" s="450"/>
      <c r="KFM102" s="450"/>
      <c r="KFN102" s="450"/>
      <c r="KFO102" s="450"/>
      <c r="KFP102" s="450"/>
      <c r="KFQ102" s="450"/>
      <c r="KFR102" s="450"/>
      <c r="KFS102" s="450"/>
      <c r="KFT102" s="450"/>
      <c r="KFU102" s="450"/>
      <c r="KFV102" s="450"/>
      <c r="KFW102" s="450"/>
      <c r="KFX102" s="450"/>
      <c r="KFY102" s="450"/>
      <c r="KFZ102" s="450"/>
      <c r="KGA102" s="450"/>
      <c r="KGB102" s="450"/>
      <c r="KGC102" s="450"/>
      <c r="KGD102" s="450"/>
      <c r="KGE102" s="450"/>
      <c r="KGF102" s="450"/>
      <c r="KGG102" s="450"/>
      <c r="KGH102" s="450"/>
      <c r="KGI102" s="450"/>
      <c r="KGJ102" s="450"/>
      <c r="KGK102" s="450"/>
      <c r="KGL102" s="450"/>
      <c r="KGM102" s="450"/>
      <c r="KGN102" s="450"/>
      <c r="KGO102" s="450"/>
      <c r="KGP102" s="450"/>
      <c r="KGQ102" s="450"/>
      <c r="KGR102" s="450"/>
      <c r="KGS102" s="450"/>
      <c r="KGT102" s="450"/>
      <c r="KGU102" s="450"/>
      <c r="KGV102" s="450"/>
      <c r="KGW102" s="450"/>
      <c r="KGX102" s="450"/>
      <c r="KGY102" s="450"/>
      <c r="KGZ102" s="450"/>
      <c r="KHA102" s="450"/>
      <c r="KHB102" s="450"/>
      <c r="KHC102" s="450"/>
      <c r="KHD102" s="450"/>
      <c r="KHE102" s="450"/>
      <c r="KHF102" s="450"/>
      <c r="KHG102" s="450"/>
      <c r="KHH102" s="450"/>
      <c r="KHI102" s="450"/>
      <c r="KHJ102" s="450"/>
      <c r="KHK102" s="450"/>
      <c r="KHL102" s="450"/>
      <c r="KHM102" s="450"/>
      <c r="KHN102" s="450"/>
      <c r="KHO102" s="450"/>
      <c r="KHP102" s="450"/>
      <c r="KHQ102" s="450"/>
      <c r="KHR102" s="450"/>
      <c r="KHS102" s="450"/>
      <c r="KHT102" s="450"/>
      <c r="KHU102" s="450"/>
      <c r="KHV102" s="450"/>
      <c r="KHW102" s="450"/>
      <c r="KHX102" s="450"/>
      <c r="KHY102" s="450"/>
      <c r="KHZ102" s="450"/>
      <c r="KIA102" s="450"/>
      <c r="KIB102" s="450"/>
      <c r="KIC102" s="450"/>
      <c r="KID102" s="450"/>
      <c r="KIE102" s="450"/>
      <c r="KIF102" s="450"/>
      <c r="KIG102" s="450"/>
      <c r="KIH102" s="450"/>
      <c r="KII102" s="450"/>
      <c r="KIJ102" s="450"/>
      <c r="KIK102" s="450"/>
      <c r="KIL102" s="450"/>
      <c r="KIM102" s="450"/>
      <c r="KIN102" s="450"/>
      <c r="KIO102" s="450"/>
      <c r="KIP102" s="450"/>
      <c r="KIQ102" s="450"/>
      <c r="KIR102" s="450"/>
      <c r="KIS102" s="450"/>
      <c r="KIT102" s="450"/>
      <c r="KIU102" s="450"/>
      <c r="KIV102" s="450"/>
      <c r="KIW102" s="450"/>
      <c r="KIX102" s="450"/>
      <c r="KIY102" s="450"/>
      <c r="KIZ102" s="450"/>
      <c r="KJA102" s="450"/>
      <c r="KJB102" s="450"/>
      <c r="KJC102" s="450"/>
      <c r="KJD102" s="450"/>
      <c r="KJE102" s="450"/>
      <c r="KJF102" s="450"/>
      <c r="KJG102" s="450"/>
      <c r="KJH102" s="450"/>
      <c r="KJI102" s="450"/>
      <c r="KJJ102" s="450"/>
      <c r="KJK102" s="450"/>
      <c r="KJL102" s="450"/>
      <c r="KJM102" s="450"/>
      <c r="KJN102" s="450"/>
      <c r="KJO102" s="450"/>
      <c r="KJP102" s="450"/>
      <c r="KJQ102" s="450"/>
      <c r="KJR102" s="450"/>
      <c r="KJS102" s="450"/>
      <c r="KJT102" s="450"/>
      <c r="KJU102" s="450"/>
      <c r="KJV102" s="450"/>
      <c r="KJW102" s="450"/>
      <c r="KJX102" s="450"/>
      <c r="KJY102" s="450"/>
      <c r="KJZ102" s="450"/>
      <c r="KKA102" s="450"/>
      <c r="KKB102" s="450"/>
      <c r="KKC102" s="450"/>
      <c r="KKD102" s="450"/>
      <c r="KKE102" s="450"/>
      <c r="KKF102" s="450"/>
      <c r="KKG102" s="450"/>
      <c r="KKH102" s="450"/>
      <c r="KKI102" s="450"/>
      <c r="KKJ102" s="450"/>
      <c r="KKK102" s="450"/>
      <c r="KKL102" s="450"/>
      <c r="KKM102" s="450"/>
      <c r="KKN102" s="450"/>
      <c r="KKO102" s="450"/>
      <c r="KKP102" s="450"/>
      <c r="KKQ102" s="450"/>
      <c r="KKR102" s="450"/>
      <c r="KKS102" s="450"/>
      <c r="KKT102" s="450"/>
      <c r="KKU102" s="450"/>
      <c r="KKV102" s="450"/>
      <c r="KKW102" s="450"/>
      <c r="KKX102" s="450"/>
      <c r="KKY102" s="450"/>
      <c r="KKZ102" s="450"/>
      <c r="KLA102" s="450"/>
      <c r="KLB102" s="450"/>
      <c r="KLC102" s="450"/>
      <c r="KLD102" s="450"/>
      <c r="KLE102" s="450"/>
      <c r="KLF102" s="450"/>
      <c r="KLG102" s="450"/>
      <c r="KLH102" s="450"/>
      <c r="KLI102" s="450"/>
      <c r="KLJ102" s="450"/>
      <c r="KLK102" s="450"/>
      <c r="KLL102" s="450"/>
      <c r="KLM102" s="450"/>
      <c r="KLN102" s="450"/>
      <c r="KLO102" s="450"/>
      <c r="KLP102" s="450"/>
      <c r="KLQ102" s="450"/>
      <c r="KLR102" s="450"/>
      <c r="KLS102" s="450"/>
      <c r="KLT102" s="450"/>
      <c r="KLU102" s="450"/>
      <c r="KLV102" s="450"/>
      <c r="KLW102" s="450"/>
      <c r="KLX102" s="450"/>
      <c r="KLY102" s="450"/>
      <c r="KLZ102" s="450"/>
      <c r="KMA102" s="450"/>
      <c r="KMB102" s="450"/>
      <c r="KMC102" s="450"/>
      <c r="KMD102" s="450"/>
      <c r="KME102" s="450"/>
      <c r="KMF102" s="450"/>
      <c r="KMG102" s="450"/>
      <c r="KMH102" s="450"/>
      <c r="KMI102" s="450"/>
      <c r="KMJ102" s="450"/>
      <c r="KMK102" s="450"/>
      <c r="KML102" s="450"/>
      <c r="KMM102" s="450"/>
      <c r="KMN102" s="450"/>
      <c r="KMO102" s="450"/>
      <c r="KMP102" s="450"/>
      <c r="KMQ102" s="450"/>
      <c r="KMR102" s="450"/>
      <c r="KMS102" s="450"/>
      <c r="KMT102" s="450"/>
      <c r="KMU102" s="450"/>
      <c r="KMV102" s="450"/>
      <c r="KMW102" s="450"/>
      <c r="KMX102" s="450"/>
      <c r="KMY102" s="450"/>
      <c r="KMZ102" s="450"/>
      <c r="KNA102" s="450"/>
      <c r="KNB102" s="450"/>
      <c r="KNC102" s="450"/>
      <c r="KND102" s="450"/>
      <c r="KNE102" s="450"/>
      <c r="KNF102" s="450"/>
      <c r="KNG102" s="450"/>
      <c r="KNH102" s="450"/>
      <c r="KNI102" s="450"/>
      <c r="KNJ102" s="450"/>
      <c r="KNK102" s="450"/>
      <c r="KNL102" s="450"/>
      <c r="KNM102" s="450"/>
      <c r="KNN102" s="450"/>
      <c r="KNO102" s="450"/>
      <c r="KNP102" s="450"/>
      <c r="KNQ102" s="450"/>
      <c r="KNR102" s="450"/>
      <c r="KNS102" s="450"/>
      <c r="KNT102" s="450"/>
      <c r="KNU102" s="450"/>
      <c r="KNV102" s="450"/>
      <c r="KNW102" s="450"/>
      <c r="KNX102" s="450"/>
      <c r="KNY102" s="450"/>
      <c r="KNZ102" s="450"/>
      <c r="KOA102" s="450"/>
      <c r="KOB102" s="450"/>
      <c r="KOC102" s="450"/>
      <c r="KOD102" s="450"/>
      <c r="KOE102" s="450"/>
      <c r="KOF102" s="450"/>
      <c r="KOG102" s="450"/>
      <c r="KOH102" s="450"/>
      <c r="KOI102" s="450"/>
      <c r="KOJ102" s="450"/>
      <c r="KOK102" s="450"/>
      <c r="KOL102" s="450"/>
      <c r="KOM102" s="450"/>
      <c r="KON102" s="450"/>
      <c r="KOO102" s="450"/>
      <c r="KOP102" s="450"/>
      <c r="KOQ102" s="450"/>
      <c r="KOR102" s="450"/>
      <c r="KOS102" s="450"/>
      <c r="KOT102" s="450"/>
      <c r="KOU102" s="450"/>
      <c r="KOV102" s="450"/>
      <c r="KOW102" s="450"/>
      <c r="KOX102" s="450"/>
      <c r="KOY102" s="450"/>
      <c r="KOZ102" s="450"/>
      <c r="KPA102" s="450"/>
      <c r="KPB102" s="450"/>
      <c r="KPC102" s="450"/>
      <c r="KPD102" s="450"/>
      <c r="KPE102" s="450"/>
      <c r="KPF102" s="450"/>
      <c r="KPG102" s="450"/>
      <c r="KPH102" s="450"/>
      <c r="KPI102" s="450"/>
      <c r="KPJ102" s="450"/>
      <c r="KPK102" s="450"/>
      <c r="KPL102" s="450"/>
      <c r="KPM102" s="450"/>
      <c r="KPN102" s="450"/>
      <c r="KPO102" s="450"/>
      <c r="KPP102" s="450"/>
      <c r="KPQ102" s="450"/>
      <c r="KPR102" s="450"/>
      <c r="KPS102" s="450"/>
      <c r="KPT102" s="450"/>
      <c r="KPU102" s="450"/>
      <c r="KPV102" s="450"/>
      <c r="KPW102" s="450"/>
      <c r="KPX102" s="450"/>
      <c r="KPY102" s="450"/>
      <c r="KPZ102" s="450"/>
      <c r="KQA102" s="450"/>
      <c r="KQB102" s="450"/>
      <c r="KQC102" s="450"/>
      <c r="KQD102" s="450"/>
      <c r="KQE102" s="450"/>
      <c r="KQF102" s="450"/>
      <c r="KQG102" s="450"/>
      <c r="KQH102" s="450"/>
      <c r="KQI102" s="450"/>
      <c r="KQJ102" s="450"/>
      <c r="KQK102" s="450"/>
      <c r="KQL102" s="450"/>
      <c r="KQM102" s="450"/>
      <c r="KQN102" s="450"/>
      <c r="KQO102" s="450"/>
      <c r="KQP102" s="450"/>
      <c r="KQQ102" s="450"/>
      <c r="KQR102" s="450"/>
      <c r="KQS102" s="450"/>
      <c r="KQT102" s="450"/>
      <c r="KQU102" s="450"/>
      <c r="KQV102" s="450"/>
      <c r="KQW102" s="450"/>
      <c r="KQX102" s="450"/>
      <c r="KQY102" s="450"/>
      <c r="KQZ102" s="450"/>
      <c r="KRA102" s="450"/>
      <c r="KRB102" s="450"/>
      <c r="KRC102" s="450"/>
      <c r="KRD102" s="450"/>
      <c r="KRE102" s="450"/>
      <c r="KRF102" s="450"/>
      <c r="KRG102" s="450"/>
      <c r="KRH102" s="450"/>
      <c r="KRI102" s="450"/>
      <c r="KRJ102" s="450"/>
      <c r="KRK102" s="450"/>
      <c r="KRL102" s="450"/>
      <c r="KRM102" s="450"/>
      <c r="KRN102" s="450"/>
      <c r="KRO102" s="450"/>
      <c r="KRP102" s="450"/>
      <c r="KRQ102" s="450"/>
      <c r="KRR102" s="450"/>
      <c r="KRS102" s="450"/>
      <c r="KRT102" s="450"/>
      <c r="KRU102" s="450"/>
      <c r="KRV102" s="450"/>
      <c r="KRW102" s="450"/>
      <c r="KRX102" s="450"/>
      <c r="KRY102" s="450"/>
      <c r="KRZ102" s="450"/>
      <c r="KSA102" s="450"/>
      <c r="KSB102" s="450"/>
      <c r="KSC102" s="450"/>
      <c r="KSD102" s="450"/>
      <c r="KSE102" s="450"/>
      <c r="KSF102" s="450"/>
      <c r="KSG102" s="450"/>
      <c r="KSH102" s="450"/>
      <c r="KSI102" s="450"/>
      <c r="KSJ102" s="450"/>
      <c r="KSK102" s="450"/>
      <c r="KSL102" s="450"/>
      <c r="KSM102" s="450"/>
      <c r="KSN102" s="450"/>
      <c r="KSO102" s="450"/>
      <c r="KSP102" s="450"/>
      <c r="KSQ102" s="450"/>
      <c r="KSR102" s="450"/>
      <c r="KSS102" s="450"/>
      <c r="KST102" s="450"/>
      <c r="KSU102" s="450"/>
      <c r="KSV102" s="450"/>
      <c r="KSW102" s="450"/>
      <c r="KSX102" s="450"/>
      <c r="KSY102" s="450"/>
      <c r="KSZ102" s="450"/>
      <c r="KTA102" s="450"/>
      <c r="KTB102" s="450"/>
      <c r="KTC102" s="450"/>
      <c r="KTD102" s="450"/>
      <c r="KTE102" s="450"/>
      <c r="KTF102" s="450"/>
      <c r="KTG102" s="450"/>
      <c r="KTH102" s="450"/>
      <c r="KTI102" s="450"/>
      <c r="KTJ102" s="450"/>
      <c r="KTK102" s="450"/>
      <c r="KTL102" s="450"/>
      <c r="KTM102" s="450"/>
      <c r="KTN102" s="450"/>
      <c r="KTO102" s="450"/>
      <c r="KTP102" s="450"/>
      <c r="KTQ102" s="450"/>
      <c r="KTR102" s="450"/>
      <c r="KTS102" s="450"/>
      <c r="KTT102" s="450"/>
      <c r="KTU102" s="450"/>
      <c r="KTV102" s="450"/>
      <c r="KTW102" s="450"/>
      <c r="KTX102" s="450"/>
      <c r="KTY102" s="450"/>
      <c r="KTZ102" s="450"/>
      <c r="KUA102" s="450"/>
      <c r="KUB102" s="450"/>
      <c r="KUC102" s="450"/>
      <c r="KUD102" s="450"/>
      <c r="KUE102" s="450"/>
      <c r="KUF102" s="450"/>
      <c r="KUG102" s="450"/>
      <c r="KUH102" s="450"/>
      <c r="KUI102" s="450"/>
      <c r="KUJ102" s="450"/>
      <c r="KUK102" s="450"/>
      <c r="KUL102" s="450"/>
      <c r="KUM102" s="450"/>
      <c r="KUN102" s="450"/>
      <c r="KUO102" s="450"/>
      <c r="KUP102" s="450"/>
      <c r="KUQ102" s="450"/>
      <c r="KUR102" s="450"/>
      <c r="KUS102" s="450"/>
      <c r="KUT102" s="450"/>
      <c r="KUU102" s="450"/>
      <c r="KUV102" s="450"/>
      <c r="KUW102" s="450"/>
      <c r="KUX102" s="450"/>
      <c r="KUY102" s="450"/>
      <c r="KUZ102" s="450"/>
      <c r="KVA102" s="450"/>
      <c r="KVB102" s="450"/>
      <c r="KVC102" s="450"/>
      <c r="KVD102" s="450"/>
      <c r="KVE102" s="450"/>
      <c r="KVF102" s="450"/>
      <c r="KVG102" s="450"/>
      <c r="KVH102" s="450"/>
      <c r="KVI102" s="450"/>
      <c r="KVJ102" s="450"/>
      <c r="KVK102" s="450"/>
      <c r="KVL102" s="450"/>
      <c r="KVM102" s="450"/>
      <c r="KVN102" s="450"/>
      <c r="KVO102" s="450"/>
      <c r="KVP102" s="450"/>
      <c r="KVQ102" s="450"/>
      <c r="KVR102" s="450"/>
      <c r="KVS102" s="450"/>
      <c r="KVT102" s="450"/>
      <c r="KVU102" s="450"/>
      <c r="KVV102" s="450"/>
      <c r="KVW102" s="450"/>
      <c r="KVX102" s="450"/>
      <c r="KVY102" s="450"/>
      <c r="KVZ102" s="450"/>
      <c r="KWA102" s="450"/>
      <c r="KWB102" s="450"/>
      <c r="KWC102" s="450"/>
      <c r="KWD102" s="450"/>
      <c r="KWE102" s="450"/>
      <c r="KWF102" s="450"/>
      <c r="KWG102" s="450"/>
      <c r="KWH102" s="450"/>
      <c r="KWI102" s="450"/>
      <c r="KWJ102" s="450"/>
      <c r="KWK102" s="450"/>
      <c r="KWL102" s="450"/>
      <c r="KWM102" s="450"/>
      <c r="KWN102" s="450"/>
      <c r="KWO102" s="450"/>
      <c r="KWP102" s="450"/>
      <c r="KWQ102" s="450"/>
      <c r="KWR102" s="450"/>
      <c r="KWS102" s="450"/>
      <c r="KWT102" s="450"/>
      <c r="KWU102" s="450"/>
      <c r="KWV102" s="450"/>
      <c r="KWW102" s="450"/>
      <c r="KWX102" s="450"/>
      <c r="KWY102" s="450"/>
      <c r="KWZ102" s="450"/>
      <c r="KXA102" s="450"/>
      <c r="KXB102" s="450"/>
      <c r="KXC102" s="450"/>
      <c r="KXD102" s="450"/>
      <c r="KXE102" s="450"/>
      <c r="KXF102" s="450"/>
      <c r="KXG102" s="450"/>
      <c r="KXH102" s="450"/>
      <c r="KXI102" s="450"/>
      <c r="KXJ102" s="450"/>
      <c r="KXK102" s="450"/>
      <c r="KXL102" s="450"/>
      <c r="KXM102" s="450"/>
      <c r="KXN102" s="450"/>
      <c r="KXO102" s="450"/>
      <c r="KXP102" s="450"/>
      <c r="KXQ102" s="450"/>
      <c r="KXR102" s="450"/>
      <c r="KXS102" s="450"/>
      <c r="KXT102" s="450"/>
      <c r="KXU102" s="450"/>
      <c r="KXV102" s="450"/>
      <c r="KXW102" s="450"/>
      <c r="KXX102" s="450"/>
      <c r="KXY102" s="450"/>
      <c r="KXZ102" s="450"/>
      <c r="KYA102" s="450"/>
      <c r="KYB102" s="450"/>
      <c r="KYC102" s="450"/>
      <c r="KYD102" s="450"/>
      <c r="KYE102" s="450"/>
      <c r="KYF102" s="450"/>
      <c r="KYG102" s="450"/>
      <c r="KYH102" s="450"/>
      <c r="KYI102" s="450"/>
      <c r="KYJ102" s="450"/>
      <c r="KYK102" s="450"/>
      <c r="KYL102" s="450"/>
      <c r="KYM102" s="450"/>
      <c r="KYN102" s="450"/>
      <c r="KYO102" s="450"/>
      <c r="KYP102" s="450"/>
      <c r="KYQ102" s="450"/>
      <c r="KYR102" s="450"/>
      <c r="KYS102" s="450"/>
      <c r="KYT102" s="450"/>
      <c r="KYU102" s="450"/>
      <c r="KYV102" s="450"/>
      <c r="KYW102" s="450"/>
      <c r="KYX102" s="450"/>
      <c r="KYY102" s="450"/>
      <c r="KYZ102" s="450"/>
      <c r="KZA102" s="450"/>
      <c r="KZB102" s="450"/>
      <c r="KZC102" s="450"/>
      <c r="KZD102" s="450"/>
      <c r="KZE102" s="450"/>
      <c r="KZF102" s="450"/>
      <c r="KZG102" s="450"/>
      <c r="KZH102" s="450"/>
      <c r="KZI102" s="450"/>
      <c r="KZJ102" s="450"/>
      <c r="KZK102" s="450"/>
      <c r="KZL102" s="450"/>
      <c r="KZM102" s="450"/>
      <c r="KZN102" s="450"/>
      <c r="KZO102" s="450"/>
      <c r="KZP102" s="450"/>
      <c r="KZQ102" s="450"/>
      <c r="KZR102" s="450"/>
      <c r="KZS102" s="450"/>
      <c r="KZT102" s="450"/>
      <c r="KZU102" s="450"/>
      <c r="KZV102" s="450"/>
      <c r="KZW102" s="450"/>
      <c r="KZX102" s="450"/>
      <c r="KZY102" s="450"/>
      <c r="KZZ102" s="450"/>
      <c r="LAA102" s="450"/>
      <c r="LAB102" s="450"/>
      <c r="LAC102" s="450"/>
      <c r="LAD102" s="450"/>
      <c r="LAE102" s="450"/>
      <c r="LAF102" s="450"/>
      <c r="LAG102" s="450"/>
      <c r="LAH102" s="450"/>
      <c r="LAI102" s="450"/>
      <c r="LAJ102" s="450"/>
      <c r="LAK102" s="450"/>
      <c r="LAL102" s="450"/>
      <c r="LAM102" s="450"/>
      <c r="LAN102" s="450"/>
      <c r="LAO102" s="450"/>
      <c r="LAP102" s="450"/>
      <c r="LAQ102" s="450"/>
      <c r="LAR102" s="450"/>
      <c r="LAS102" s="450"/>
      <c r="LAT102" s="450"/>
      <c r="LAU102" s="450"/>
      <c r="LAV102" s="450"/>
      <c r="LAW102" s="450"/>
      <c r="LAX102" s="450"/>
      <c r="LAY102" s="450"/>
      <c r="LAZ102" s="450"/>
      <c r="LBA102" s="450"/>
      <c r="LBB102" s="450"/>
      <c r="LBC102" s="450"/>
      <c r="LBD102" s="450"/>
      <c r="LBE102" s="450"/>
      <c r="LBF102" s="450"/>
      <c r="LBG102" s="450"/>
      <c r="LBH102" s="450"/>
      <c r="LBI102" s="450"/>
      <c r="LBJ102" s="450"/>
      <c r="LBK102" s="450"/>
      <c r="LBL102" s="450"/>
      <c r="LBM102" s="450"/>
      <c r="LBN102" s="450"/>
      <c r="LBO102" s="450"/>
      <c r="LBP102" s="450"/>
      <c r="LBQ102" s="450"/>
      <c r="LBR102" s="450"/>
      <c r="LBS102" s="450"/>
      <c r="LBT102" s="450"/>
      <c r="LBU102" s="450"/>
      <c r="LBV102" s="450"/>
      <c r="LBW102" s="450"/>
      <c r="LBX102" s="450"/>
      <c r="LBY102" s="450"/>
      <c r="LBZ102" s="450"/>
      <c r="LCA102" s="450"/>
      <c r="LCB102" s="450"/>
      <c r="LCC102" s="450"/>
      <c r="LCD102" s="450"/>
      <c r="LCE102" s="450"/>
      <c r="LCF102" s="450"/>
      <c r="LCG102" s="450"/>
      <c r="LCH102" s="450"/>
      <c r="LCI102" s="450"/>
      <c r="LCJ102" s="450"/>
      <c r="LCK102" s="450"/>
      <c r="LCL102" s="450"/>
      <c r="LCM102" s="450"/>
      <c r="LCN102" s="450"/>
      <c r="LCO102" s="450"/>
      <c r="LCP102" s="450"/>
      <c r="LCQ102" s="450"/>
      <c r="LCR102" s="450"/>
      <c r="LCS102" s="450"/>
      <c r="LCT102" s="450"/>
      <c r="LCU102" s="450"/>
      <c r="LCV102" s="450"/>
      <c r="LCW102" s="450"/>
      <c r="LCX102" s="450"/>
      <c r="LCY102" s="450"/>
      <c r="LCZ102" s="450"/>
      <c r="LDA102" s="450"/>
      <c r="LDB102" s="450"/>
      <c r="LDC102" s="450"/>
      <c r="LDD102" s="450"/>
      <c r="LDE102" s="450"/>
      <c r="LDF102" s="450"/>
      <c r="LDG102" s="450"/>
      <c r="LDH102" s="450"/>
      <c r="LDI102" s="450"/>
      <c r="LDJ102" s="450"/>
      <c r="LDK102" s="450"/>
      <c r="LDL102" s="450"/>
      <c r="LDM102" s="450"/>
      <c r="LDN102" s="450"/>
      <c r="LDO102" s="450"/>
      <c r="LDP102" s="450"/>
      <c r="LDQ102" s="450"/>
      <c r="LDR102" s="450"/>
      <c r="LDS102" s="450"/>
      <c r="LDT102" s="450"/>
      <c r="LDU102" s="450"/>
      <c r="LDV102" s="450"/>
      <c r="LDW102" s="450"/>
      <c r="LDX102" s="450"/>
      <c r="LDY102" s="450"/>
      <c r="LDZ102" s="450"/>
      <c r="LEA102" s="450"/>
      <c r="LEB102" s="450"/>
      <c r="LEC102" s="450"/>
      <c r="LED102" s="450"/>
      <c r="LEE102" s="450"/>
      <c r="LEF102" s="450"/>
      <c r="LEG102" s="450"/>
      <c r="LEH102" s="450"/>
      <c r="LEI102" s="450"/>
      <c r="LEJ102" s="450"/>
      <c r="LEK102" s="450"/>
      <c r="LEL102" s="450"/>
      <c r="LEM102" s="450"/>
      <c r="LEN102" s="450"/>
      <c r="LEO102" s="450"/>
      <c r="LEP102" s="450"/>
      <c r="LEQ102" s="450"/>
      <c r="LER102" s="450"/>
      <c r="LES102" s="450"/>
      <c r="LET102" s="450"/>
      <c r="LEU102" s="450"/>
      <c r="LEV102" s="450"/>
      <c r="LEW102" s="450"/>
      <c r="LEX102" s="450"/>
      <c r="LEY102" s="450"/>
      <c r="LEZ102" s="450"/>
      <c r="LFA102" s="450"/>
      <c r="LFB102" s="450"/>
      <c r="LFC102" s="450"/>
      <c r="LFD102" s="450"/>
      <c r="LFE102" s="450"/>
      <c r="LFF102" s="450"/>
      <c r="LFG102" s="450"/>
      <c r="LFH102" s="450"/>
      <c r="LFI102" s="450"/>
      <c r="LFJ102" s="450"/>
      <c r="LFK102" s="450"/>
      <c r="LFL102" s="450"/>
      <c r="LFM102" s="450"/>
      <c r="LFN102" s="450"/>
      <c r="LFO102" s="450"/>
      <c r="LFP102" s="450"/>
      <c r="LFQ102" s="450"/>
      <c r="LFR102" s="450"/>
      <c r="LFS102" s="450"/>
      <c r="LFT102" s="450"/>
      <c r="LFU102" s="450"/>
      <c r="LFV102" s="450"/>
      <c r="LFW102" s="450"/>
      <c r="LFX102" s="450"/>
      <c r="LFY102" s="450"/>
      <c r="LFZ102" s="450"/>
      <c r="LGA102" s="450"/>
      <c r="LGB102" s="450"/>
      <c r="LGC102" s="450"/>
      <c r="LGD102" s="450"/>
      <c r="LGE102" s="450"/>
      <c r="LGF102" s="450"/>
      <c r="LGG102" s="450"/>
      <c r="LGH102" s="450"/>
      <c r="LGI102" s="450"/>
      <c r="LGJ102" s="450"/>
      <c r="LGK102" s="450"/>
      <c r="LGL102" s="450"/>
      <c r="LGM102" s="450"/>
      <c r="LGN102" s="450"/>
      <c r="LGO102" s="450"/>
      <c r="LGP102" s="450"/>
      <c r="LGQ102" s="450"/>
      <c r="LGR102" s="450"/>
      <c r="LGS102" s="450"/>
      <c r="LGT102" s="450"/>
      <c r="LGU102" s="450"/>
      <c r="LGV102" s="450"/>
      <c r="LGW102" s="450"/>
      <c r="LGX102" s="450"/>
      <c r="LGY102" s="450"/>
      <c r="LGZ102" s="450"/>
      <c r="LHA102" s="450"/>
      <c r="LHB102" s="450"/>
      <c r="LHC102" s="450"/>
      <c r="LHD102" s="450"/>
      <c r="LHE102" s="450"/>
      <c r="LHF102" s="450"/>
      <c r="LHG102" s="450"/>
      <c r="LHH102" s="450"/>
      <c r="LHI102" s="450"/>
      <c r="LHJ102" s="450"/>
      <c r="LHK102" s="450"/>
      <c r="LHL102" s="450"/>
      <c r="LHM102" s="450"/>
      <c r="LHN102" s="450"/>
      <c r="LHO102" s="450"/>
      <c r="LHP102" s="450"/>
      <c r="LHQ102" s="450"/>
      <c r="LHR102" s="450"/>
      <c r="LHS102" s="450"/>
      <c r="LHT102" s="450"/>
      <c r="LHU102" s="450"/>
      <c r="LHV102" s="450"/>
      <c r="LHW102" s="450"/>
      <c r="LHX102" s="450"/>
      <c r="LHY102" s="450"/>
      <c r="LHZ102" s="450"/>
      <c r="LIA102" s="450"/>
      <c r="LIB102" s="450"/>
      <c r="LIC102" s="450"/>
      <c r="LID102" s="450"/>
      <c r="LIE102" s="450"/>
      <c r="LIF102" s="450"/>
      <c r="LIG102" s="450"/>
      <c r="LIH102" s="450"/>
      <c r="LII102" s="450"/>
      <c r="LIJ102" s="450"/>
      <c r="LIK102" s="450"/>
      <c r="LIL102" s="450"/>
      <c r="LIM102" s="450"/>
      <c r="LIN102" s="450"/>
      <c r="LIO102" s="450"/>
      <c r="LIP102" s="450"/>
      <c r="LIQ102" s="450"/>
      <c r="LIR102" s="450"/>
      <c r="LIS102" s="450"/>
      <c r="LIT102" s="450"/>
      <c r="LIU102" s="450"/>
      <c r="LIV102" s="450"/>
      <c r="LIW102" s="450"/>
      <c r="LIX102" s="450"/>
      <c r="LIY102" s="450"/>
      <c r="LIZ102" s="450"/>
      <c r="LJA102" s="450"/>
      <c r="LJB102" s="450"/>
      <c r="LJC102" s="450"/>
      <c r="LJD102" s="450"/>
      <c r="LJE102" s="450"/>
      <c r="LJF102" s="450"/>
      <c r="LJG102" s="450"/>
      <c r="LJH102" s="450"/>
      <c r="LJI102" s="450"/>
      <c r="LJJ102" s="450"/>
      <c r="LJK102" s="450"/>
      <c r="LJL102" s="450"/>
      <c r="LJM102" s="450"/>
      <c r="LJN102" s="450"/>
      <c r="LJO102" s="450"/>
      <c r="LJP102" s="450"/>
      <c r="LJQ102" s="450"/>
      <c r="LJR102" s="450"/>
      <c r="LJS102" s="450"/>
      <c r="LJT102" s="450"/>
      <c r="LJU102" s="450"/>
      <c r="LJV102" s="450"/>
      <c r="LJW102" s="450"/>
      <c r="LJX102" s="450"/>
      <c r="LJY102" s="450"/>
      <c r="LJZ102" s="450"/>
      <c r="LKA102" s="450"/>
      <c r="LKB102" s="450"/>
      <c r="LKC102" s="450"/>
      <c r="LKD102" s="450"/>
      <c r="LKE102" s="450"/>
      <c r="LKF102" s="450"/>
      <c r="LKG102" s="450"/>
      <c r="LKH102" s="450"/>
      <c r="LKI102" s="450"/>
      <c r="LKJ102" s="450"/>
      <c r="LKK102" s="450"/>
      <c r="LKL102" s="450"/>
      <c r="LKM102" s="450"/>
      <c r="LKN102" s="450"/>
      <c r="LKO102" s="450"/>
      <c r="LKP102" s="450"/>
      <c r="LKQ102" s="450"/>
      <c r="LKR102" s="450"/>
      <c r="LKS102" s="450"/>
      <c r="LKT102" s="450"/>
      <c r="LKU102" s="450"/>
      <c r="LKV102" s="450"/>
      <c r="LKW102" s="450"/>
      <c r="LKX102" s="450"/>
      <c r="LKY102" s="450"/>
      <c r="LKZ102" s="450"/>
      <c r="LLA102" s="450"/>
      <c r="LLB102" s="450"/>
      <c r="LLC102" s="450"/>
      <c r="LLD102" s="450"/>
      <c r="LLE102" s="450"/>
      <c r="LLF102" s="450"/>
      <c r="LLG102" s="450"/>
      <c r="LLH102" s="450"/>
      <c r="LLI102" s="450"/>
      <c r="LLJ102" s="450"/>
      <c r="LLK102" s="450"/>
      <c r="LLL102" s="450"/>
      <c r="LLM102" s="450"/>
      <c r="LLN102" s="450"/>
      <c r="LLO102" s="450"/>
      <c r="LLP102" s="450"/>
      <c r="LLQ102" s="450"/>
      <c r="LLR102" s="450"/>
      <c r="LLS102" s="450"/>
      <c r="LLT102" s="450"/>
      <c r="LLU102" s="450"/>
      <c r="LLV102" s="450"/>
      <c r="LLW102" s="450"/>
      <c r="LLX102" s="450"/>
      <c r="LLY102" s="450"/>
      <c r="LLZ102" s="450"/>
      <c r="LMA102" s="450"/>
      <c r="LMB102" s="450"/>
      <c r="LMC102" s="450"/>
      <c r="LMD102" s="450"/>
      <c r="LME102" s="450"/>
      <c r="LMF102" s="450"/>
      <c r="LMG102" s="450"/>
      <c r="LMH102" s="450"/>
      <c r="LMI102" s="450"/>
      <c r="LMJ102" s="450"/>
      <c r="LMK102" s="450"/>
      <c r="LML102" s="450"/>
      <c r="LMM102" s="450"/>
      <c r="LMN102" s="450"/>
      <c r="LMO102" s="450"/>
      <c r="LMP102" s="450"/>
      <c r="LMQ102" s="450"/>
      <c r="LMR102" s="450"/>
      <c r="LMS102" s="450"/>
      <c r="LMT102" s="450"/>
      <c r="LMU102" s="450"/>
      <c r="LMV102" s="450"/>
      <c r="LMW102" s="450"/>
      <c r="LMX102" s="450"/>
      <c r="LMY102" s="450"/>
      <c r="LMZ102" s="450"/>
      <c r="LNA102" s="450"/>
      <c r="LNB102" s="450"/>
      <c r="LNC102" s="450"/>
      <c r="LND102" s="450"/>
      <c r="LNE102" s="450"/>
      <c r="LNF102" s="450"/>
      <c r="LNG102" s="450"/>
      <c r="LNH102" s="450"/>
      <c r="LNI102" s="450"/>
      <c r="LNJ102" s="450"/>
      <c r="LNK102" s="450"/>
      <c r="LNL102" s="450"/>
      <c r="LNM102" s="450"/>
      <c r="LNN102" s="450"/>
      <c r="LNO102" s="450"/>
      <c r="LNP102" s="450"/>
      <c r="LNQ102" s="450"/>
      <c r="LNR102" s="450"/>
      <c r="LNS102" s="450"/>
      <c r="LNT102" s="450"/>
      <c r="LNU102" s="450"/>
      <c r="LNV102" s="450"/>
      <c r="LNW102" s="450"/>
      <c r="LNX102" s="450"/>
      <c r="LNY102" s="450"/>
      <c r="LNZ102" s="450"/>
      <c r="LOA102" s="450"/>
      <c r="LOB102" s="450"/>
      <c r="LOC102" s="450"/>
      <c r="LOD102" s="450"/>
      <c r="LOE102" s="450"/>
      <c r="LOF102" s="450"/>
      <c r="LOG102" s="450"/>
      <c r="LOH102" s="450"/>
      <c r="LOI102" s="450"/>
      <c r="LOJ102" s="450"/>
      <c r="LOK102" s="450"/>
      <c r="LOL102" s="450"/>
      <c r="LOM102" s="450"/>
      <c r="LON102" s="450"/>
      <c r="LOO102" s="450"/>
      <c r="LOP102" s="450"/>
      <c r="LOQ102" s="450"/>
      <c r="LOR102" s="450"/>
      <c r="LOS102" s="450"/>
      <c r="LOT102" s="450"/>
      <c r="LOU102" s="450"/>
      <c r="LOV102" s="450"/>
      <c r="LOW102" s="450"/>
      <c r="LOX102" s="450"/>
      <c r="LOY102" s="450"/>
      <c r="LOZ102" s="450"/>
      <c r="LPA102" s="450"/>
      <c r="LPB102" s="450"/>
      <c r="LPC102" s="450"/>
      <c r="LPD102" s="450"/>
      <c r="LPE102" s="450"/>
      <c r="LPF102" s="450"/>
      <c r="LPG102" s="450"/>
      <c r="LPH102" s="450"/>
      <c r="LPI102" s="450"/>
      <c r="LPJ102" s="450"/>
      <c r="LPK102" s="450"/>
      <c r="LPL102" s="450"/>
      <c r="LPM102" s="450"/>
      <c r="LPN102" s="450"/>
      <c r="LPO102" s="450"/>
      <c r="LPP102" s="450"/>
      <c r="LPQ102" s="450"/>
      <c r="LPR102" s="450"/>
      <c r="LPS102" s="450"/>
      <c r="LPT102" s="450"/>
      <c r="LPU102" s="450"/>
      <c r="LPV102" s="450"/>
      <c r="LPW102" s="450"/>
      <c r="LPX102" s="450"/>
      <c r="LPY102" s="450"/>
      <c r="LPZ102" s="450"/>
      <c r="LQA102" s="450"/>
      <c r="LQB102" s="450"/>
      <c r="LQC102" s="450"/>
      <c r="LQD102" s="450"/>
      <c r="LQE102" s="450"/>
      <c r="LQF102" s="450"/>
      <c r="LQG102" s="450"/>
      <c r="LQH102" s="450"/>
      <c r="LQI102" s="450"/>
      <c r="LQJ102" s="450"/>
      <c r="LQK102" s="450"/>
      <c r="LQL102" s="450"/>
      <c r="LQM102" s="450"/>
      <c r="LQN102" s="450"/>
      <c r="LQO102" s="450"/>
      <c r="LQP102" s="450"/>
      <c r="LQQ102" s="450"/>
      <c r="LQR102" s="450"/>
      <c r="LQS102" s="450"/>
      <c r="LQT102" s="450"/>
      <c r="LQU102" s="450"/>
      <c r="LQV102" s="450"/>
      <c r="LQW102" s="450"/>
      <c r="LQX102" s="450"/>
      <c r="LQY102" s="450"/>
      <c r="LQZ102" s="450"/>
      <c r="LRA102" s="450"/>
      <c r="LRB102" s="450"/>
      <c r="LRC102" s="450"/>
      <c r="LRD102" s="450"/>
      <c r="LRE102" s="450"/>
      <c r="LRF102" s="450"/>
      <c r="LRG102" s="450"/>
      <c r="LRH102" s="450"/>
      <c r="LRI102" s="450"/>
      <c r="LRJ102" s="450"/>
      <c r="LRK102" s="450"/>
      <c r="LRL102" s="450"/>
      <c r="LRM102" s="450"/>
      <c r="LRN102" s="450"/>
      <c r="LRO102" s="450"/>
      <c r="LRP102" s="450"/>
      <c r="LRQ102" s="450"/>
      <c r="LRR102" s="450"/>
      <c r="LRS102" s="450"/>
      <c r="LRT102" s="450"/>
      <c r="LRU102" s="450"/>
      <c r="LRV102" s="450"/>
      <c r="LRW102" s="450"/>
      <c r="LRX102" s="450"/>
      <c r="LRY102" s="450"/>
      <c r="LRZ102" s="450"/>
      <c r="LSA102" s="450"/>
      <c r="LSB102" s="450"/>
      <c r="LSC102" s="450"/>
      <c r="LSD102" s="450"/>
      <c r="LSE102" s="450"/>
      <c r="LSF102" s="450"/>
      <c r="LSG102" s="450"/>
      <c r="LSH102" s="450"/>
      <c r="LSI102" s="450"/>
      <c r="LSJ102" s="450"/>
      <c r="LSK102" s="450"/>
      <c r="LSL102" s="450"/>
      <c r="LSM102" s="450"/>
      <c r="LSN102" s="450"/>
      <c r="LSO102" s="450"/>
      <c r="LSP102" s="450"/>
      <c r="LSQ102" s="450"/>
      <c r="LSR102" s="450"/>
      <c r="LSS102" s="450"/>
      <c r="LST102" s="450"/>
      <c r="LSU102" s="450"/>
      <c r="LSV102" s="450"/>
      <c r="LSW102" s="450"/>
      <c r="LSX102" s="450"/>
      <c r="LSY102" s="450"/>
      <c r="LSZ102" s="450"/>
      <c r="LTA102" s="450"/>
      <c r="LTB102" s="450"/>
      <c r="LTC102" s="450"/>
      <c r="LTD102" s="450"/>
      <c r="LTE102" s="450"/>
      <c r="LTF102" s="450"/>
      <c r="LTG102" s="450"/>
      <c r="LTH102" s="450"/>
      <c r="LTI102" s="450"/>
      <c r="LTJ102" s="450"/>
      <c r="LTK102" s="450"/>
      <c r="LTL102" s="450"/>
      <c r="LTM102" s="450"/>
      <c r="LTN102" s="450"/>
      <c r="LTO102" s="450"/>
      <c r="LTP102" s="450"/>
      <c r="LTQ102" s="450"/>
      <c r="LTR102" s="450"/>
      <c r="LTS102" s="450"/>
      <c r="LTT102" s="450"/>
      <c r="LTU102" s="450"/>
      <c r="LTV102" s="450"/>
      <c r="LTW102" s="450"/>
      <c r="LTX102" s="450"/>
      <c r="LTY102" s="450"/>
      <c r="LTZ102" s="450"/>
      <c r="LUA102" s="450"/>
      <c r="LUB102" s="450"/>
      <c r="LUC102" s="450"/>
      <c r="LUD102" s="450"/>
      <c r="LUE102" s="450"/>
      <c r="LUF102" s="450"/>
      <c r="LUG102" s="450"/>
      <c r="LUH102" s="450"/>
      <c r="LUI102" s="450"/>
      <c r="LUJ102" s="450"/>
      <c r="LUK102" s="450"/>
      <c r="LUL102" s="450"/>
      <c r="LUM102" s="450"/>
      <c r="LUN102" s="450"/>
      <c r="LUO102" s="450"/>
      <c r="LUP102" s="450"/>
      <c r="LUQ102" s="450"/>
      <c r="LUR102" s="450"/>
      <c r="LUS102" s="450"/>
      <c r="LUT102" s="450"/>
      <c r="LUU102" s="450"/>
      <c r="LUV102" s="450"/>
      <c r="LUW102" s="450"/>
      <c r="LUX102" s="450"/>
      <c r="LUY102" s="450"/>
      <c r="LUZ102" s="450"/>
      <c r="LVA102" s="450"/>
      <c r="LVB102" s="450"/>
      <c r="LVC102" s="450"/>
      <c r="LVD102" s="450"/>
      <c r="LVE102" s="450"/>
      <c r="LVF102" s="450"/>
      <c r="LVG102" s="450"/>
      <c r="LVH102" s="450"/>
      <c r="LVI102" s="450"/>
      <c r="LVJ102" s="450"/>
      <c r="LVK102" s="450"/>
      <c r="LVL102" s="450"/>
      <c r="LVM102" s="450"/>
      <c r="LVN102" s="450"/>
      <c r="LVO102" s="450"/>
      <c r="LVP102" s="450"/>
      <c r="LVQ102" s="450"/>
      <c r="LVR102" s="450"/>
      <c r="LVS102" s="450"/>
      <c r="LVT102" s="450"/>
      <c r="LVU102" s="450"/>
      <c r="LVV102" s="450"/>
      <c r="LVW102" s="450"/>
      <c r="LVX102" s="450"/>
      <c r="LVY102" s="450"/>
      <c r="LVZ102" s="450"/>
      <c r="LWA102" s="450"/>
      <c r="LWB102" s="450"/>
      <c r="LWC102" s="450"/>
      <c r="LWD102" s="450"/>
      <c r="LWE102" s="450"/>
      <c r="LWF102" s="450"/>
      <c r="LWG102" s="450"/>
      <c r="LWH102" s="450"/>
      <c r="LWI102" s="450"/>
      <c r="LWJ102" s="450"/>
      <c r="LWK102" s="450"/>
      <c r="LWL102" s="450"/>
      <c r="LWM102" s="450"/>
      <c r="LWN102" s="450"/>
      <c r="LWO102" s="450"/>
      <c r="LWP102" s="450"/>
      <c r="LWQ102" s="450"/>
      <c r="LWR102" s="450"/>
      <c r="LWS102" s="450"/>
      <c r="LWT102" s="450"/>
      <c r="LWU102" s="450"/>
      <c r="LWV102" s="450"/>
      <c r="LWW102" s="450"/>
      <c r="LWX102" s="450"/>
      <c r="LWY102" s="450"/>
      <c r="LWZ102" s="450"/>
      <c r="LXA102" s="450"/>
      <c r="LXB102" s="450"/>
      <c r="LXC102" s="450"/>
      <c r="LXD102" s="450"/>
      <c r="LXE102" s="450"/>
      <c r="LXF102" s="450"/>
      <c r="LXG102" s="450"/>
      <c r="LXH102" s="450"/>
      <c r="LXI102" s="450"/>
      <c r="LXJ102" s="450"/>
      <c r="LXK102" s="450"/>
      <c r="LXL102" s="450"/>
      <c r="LXM102" s="450"/>
      <c r="LXN102" s="450"/>
      <c r="LXO102" s="450"/>
      <c r="LXP102" s="450"/>
      <c r="LXQ102" s="450"/>
      <c r="LXR102" s="450"/>
      <c r="LXS102" s="450"/>
      <c r="LXT102" s="450"/>
      <c r="LXU102" s="450"/>
      <c r="LXV102" s="450"/>
      <c r="LXW102" s="450"/>
      <c r="LXX102" s="450"/>
      <c r="LXY102" s="450"/>
      <c r="LXZ102" s="450"/>
      <c r="LYA102" s="450"/>
      <c r="LYB102" s="450"/>
      <c r="LYC102" s="450"/>
      <c r="LYD102" s="450"/>
      <c r="LYE102" s="450"/>
      <c r="LYF102" s="450"/>
      <c r="LYG102" s="450"/>
      <c r="LYH102" s="450"/>
      <c r="LYI102" s="450"/>
      <c r="LYJ102" s="450"/>
      <c r="LYK102" s="450"/>
      <c r="LYL102" s="450"/>
      <c r="LYM102" s="450"/>
      <c r="LYN102" s="450"/>
      <c r="LYO102" s="450"/>
      <c r="LYP102" s="450"/>
      <c r="LYQ102" s="450"/>
      <c r="LYR102" s="450"/>
      <c r="LYS102" s="450"/>
      <c r="LYT102" s="450"/>
      <c r="LYU102" s="450"/>
      <c r="LYV102" s="450"/>
      <c r="LYW102" s="450"/>
      <c r="LYX102" s="450"/>
      <c r="LYY102" s="450"/>
      <c r="LYZ102" s="450"/>
      <c r="LZA102" s="450"/>
      <c r="LZB102" s="450"/>
      <c r="LZC102" s="450"/>
      <c r="LZD102" s="450"/>
      <c r="LZE102" s="450"/>
      <c r="LZF102" s="450"/>
      <c r="LZG102" s="450"/>
      <c r="LZH102" s="450"/>
      <c r="LZI102" s="450"/>
      <c r="LZJ102" s="450"/>
      <c r="LZK102" s="450"/>
      <c r="LZL102" s="450"/>
      <c r="LZM102" s="450"/>
      <c r="LZN102" s="450"/>
      <c r="LZO102" s="450"/>
      <c r="LZP102" s="450"/>
      <c r="LZQ102" s="450"/>
      <c r="LZR102" s="450"/>
      <c r="LZS102" s="450"/>
      <c r="LZT102" s="450"/>
      <c r="LZU102" s="450"/>
      <c r="LZV102" s="450"/>
      <c r="LZW102" s="450"/>
      <c r="LZX102" s="450"/>
      <c r="LZY102" s="450"/>
      <c r="LZZ102" s="450"/>
      <c r="MAA102" s="450"/>
      <c r="MAB102" s="450"/>
      <c r="MAC102" s="450"/>
      <c r="MAD102" s="450"/>
      <c r="MAE102" s="450"/>
      <c r="MAF102" s="450"/>
      <c r="MAG102" s="450"/>
      <c r="MAH102" s="450"/>
      <c r="MAI102" s="450"/>
      <c r="MAJ102" s="450"/>
      <c r="MAK102" s="450"/>
      <c r="MAL102" s="450"/>
      <c r="MAM102" s="450"/>
      <c r="MAN102" s="450"/>
      <c r="MAO102" s="450"/>
      <c r="MAP102" s="450"/>
      <c r="MAQ102" s="450"/>
      <c r="MAR102" s="450"/>
      <c r="MAS102" s="450"/>
      <c r="MAT102" s="450"/>
      <c r="MAU102" s="450"/>
      <c r="MAV102" s="450"/>
      <c r="MAW102" s="450"/>
      <c r="MAX102" s="450"/>
      <c r="MAY102" s="450"/>
      <c r="MAZ102" s="450"/>
      <c r="MBA102" s="450"/>
      <c r="MBB102" s="450"/>
      <c r="MBC102" s="450"/>
      <c r="MBD102" s="450"/>
      <c r="MBE102" s="450"/>
      <c r="MBF102" s="450"/>
      <c r="MBG102" s="450"/>
      <c r="MBH102" s="450"/>
      <c r="MBI102" s="450"/>
      <c r="MBJ102" s="450"/>
      <c r="MBK102" s="450"/>
      <c r="MBL102" s="450"/>
      <c r="MBM102" s="450"/>
      <c r="MBN102" s="450"/>
      <c r="MBO102" s="450"/>
      <c r="MBP102" s="450"/>
      <c r="MBQ102" s="450"/>
      <c r="MBR102" s="450"/>
      <c r="MBS102" s="450"/>
      <c r="MBT102" s="450"/>
      <c r="MBU102" s="450"/>
      <c r="MBV102" s="450"/>
      <c r="MBW102" s="450"/>
      <c r="MBX102" s="450"/>
      <c r="MBY102" s="450"/>
      <c r="MBZ102" s="450"/>
      <c r="MCA102" s="450"/>
      <c r="MCB102" s="450"/>
      <c r="MCC102" s="450"/>
      <c r="MCD102" s="450"/>
      <c r="MCE102" s="450"/>
      <c r="MCF102" s="450"/>
      <c r="MCG102" s="450"/>
      <c r="MCH102" s="450"/>
      <c r="MCI102" s="450"/>
      <c r="MCJ102" s="450"/>
      <c r="MCK102" s="450"/>
      <c r="MCL102" s="450"/>
      <c r="MCM102" s="450"/>
      <c r="MCN102" s="450"/>
      <c r="MCO102" s="450"/>
      <c r="MCP102" s="450"/>
      <c r="MCQ102" s="450"/>
      <c r="MCR102" s="450"/>
      <c r="MCS102" s="450"/>
      <c r="MCT102" s="450"/>
      <c r="MCU102" s="450"/>
      <c r="MCV102" s="450"/>
      <c r="MCW102" s="450"/>
      <c r="MCX102" s="450"/>
      <c r="MCY102" s="450"/>
      <c r="MCZ102" s="450"/>
      <c r="MDA102" s="450"/>
      <c r="MDB102" s="450"/>
      <c r="MDC102" s="450"/>
      <c r="MDD102" s="450"/>
      <c r="MDE102" s="450"/>
      <c r="MDF102" s="450"/>
      <c r="MDG102" s="450"/>
      <c r="MDH102" s="450"/>
      <c r="MDI102" s="450"/>
      <c r="MDJ102" s="450"/>
      <c r="MDK102" s="450"/>
      <c r="MDL102" s="450"/>
      <c r="MDM102" s="450"/>
      <c r="MDN102" s="450"/>
      <c r="MDO102" s="450"/>
      <c r="MDP102" s="450"/>
      <c r="MDQ102" s="450"/>
      <c r="MDR102" s="450"/>
      <c r="MDS102" s="450"/>
      <c r="MDT102" s="450"/>
      <c r="MDU102" s="450"/>
      <c r="MDV102" s="450"/>
      <c r="MDW102" s="450"/>
      <c r="MDX102" s="450"/>
      <c r="MDY102" s="450"/>
      <c r="MDZ102" s="450"/>
      <c r="MEA102" s="450"/>
      <c r="MEB102" s="450"/>
      <c r="MEC102" s="450"/>
      <c r="MED102" s="450"/>
      <c r="MEE102" s="450"/>
      <c r="MEF102" s="450"/>
      <c r="MEG102" s="450"/>
      <c r="MEH102" s="450"/>
      <c r="MEI102" s="450"/>
      <c r="MEJ102" s="450"/>
      <c r="MEK102" s="450"/>
      <c r="MEL102" s="450"/>
      <c r="MEM102" s="450"/>
      <c r="MEN102" s="450"/>
      <c r="MEO102" s="450"/>
      <c r="MEP102" s="450"/>
      <c r="MEQ102" s="450"/>
      <c r="MER102" s="450"/>
      <c r="MES102" s="450"/>
      <c r="MET102" s="450"/>
      <c r="MEU102" s="450"/>
      <c r="MEV102" s="450"/>
      <c r="MEW102" s="450"/>
      <c r="MEX102" s="450"/>
      <c r="MEY102" s="450"/>
      <c r="MEZ102" s="450"/>
      <c r="MFA102" s="450"/>
      <c r="MFB102" s="450"/>
      <c r="MFC102" s="450"/>
      <c r="MFD102" s="450"/>
      <c r="MFE102" s="450"/>
      <c r="MFF102" s="450"/>
      <c r="MFG102" s="450"/>
      <c r="MFH102" s="450"/>
      <c r="MFI102" s="450"/>
      <c r="MFJ102" s="450"/>
      <c r="MFK102" s="450"/>
      <c r="MFL102" s="450"/>
      <c r="MFM102" s="450"/>
      <c r="MFN102" s="450"/>
      <c r="MFO102" s="450"/>
      <c r="MFP102" s="450"/>
      <c r="MFQ102" s="450"/>
      <c r="MFR102" s="450"/>
      <c r="MFS102" s="450"/>
      <c r="MFT102" s="450"/>
      <c r="MFU102" s="450"/>
      <c r="MFV102" s="450"/>
      <c r="MFW102" s="450"/>
      <c r="MFX102" s="450"/>
      <c r="MFY102" s="450"/>
      <c r="MFZ102" s="450"/>
      <c r="MGA102" s="450"/>
      <c r="MGB102" s="450"/>
      <c r="MGC102" s="450"/>
      <c r="MGD102" s="450"/>
      <c r="MGE102" s="450"/>
      <c r="MGF102" s="450"/>
      <c r="MGG102" s="450"/>
      <c r="MGH102" s="450"/>
      <c r="MGI102" s="450"/>
      <c r="MGJ102" s="450"/>
      <c r="MGK102" s="450"/>
      <c r="MGL102" s="450"/>
      <c r="MGM102" s="450"/>
      <c r="MGN102" s="450"/>
      <c r="MGO102" s="450"/>
      <c r="MGP102" s="450"/>
      <c r="MGQ102" s="450"/>
      <c r="MGR102" s="450"/>
      <c r="MGS102" s="450"/>
      <c r="MGT102" s="450"/>
      <c r="MGU102" s="450"/>
      <c r="MGV102" s="450"/>
      <c r="MGW102" s="450"/>
      <c r="MGX102" s="450"/>
      <c r="MGY102" s="450"/>
      <c r="MGZ102" s="450"/>
      <c r="MHA102" s="450"/>
      <c r="MHB102" s="450"/>
      <c r="MHC102" s="450"/>
      <c r="MHD102" s="450"/>
      <c r="MHE102" s="450"/>
      <c r="MHF102" s="450"/>
      <c r="MHG102" s="450"/>
      <c r="MHH102" s="450"/>
      <c r="MHI102" s="450"/>
      <c r="MHJ102" s="450"/>
      <c r="MHK102" s="450"/>
      <c r="MHL102" s="450"/>
      <c r="MHM102" s="450"/>
      <c r="MHN102" s="450"/>
      <c r="MHO102" s="450"/>
      <c r="MHP102" s="450"/>
      <c r="MHQ102" s="450"/>
      <c r="MHR102" s="450"/>
      <c r="MHS102" s="450"/>
      <c r="MHT102" s="450"/>
      <c r="MHU102" s="450"/>
      <c r="MHV102" s="450"/>
      <c r="MHW102" s="450"/>
      <c r="MHX102" s="450"/>
      <c r="MHY102" s="450"/>
      <c r="MHZ102" s="450"/>
      <c r="MIA102" s="450"/>
      <c r="MIB102" s="450"/>
      <c r="MIC102" s="450"/>
      <c r="MID102" s="450"/>
      <c r="MIE102" s="450"/>
      <c r="MIF102" s="450"/>
      <c r="MIG102" s="450"/>
      <c r="MIH102" s="450"/>
      <c r="MII102" s="450"/>
      <c r="MIJ102" s="450"/>
      <c r="MIK102" s="450"/>
      <c r="MIL102" s="450"/>
      <c r="MIM102" s="450"/>
      <c r="MIN102" s="450"/>
      <c r="MIO102" s="450"/>
      <c r="MIP102" s="450"/>
      <c r="MIQ102" s="450"/>
      <c r="MIR102" s="450"/>
      <c r="MIS102" s="450"/>
      <c r="MIT102" s="450"/>
      <c r="MIU102" s="450"/>
      <c r="MIV102" s="450"/>
      <c r="MIW102" s="450"/>
      <c r="MIX102" s="450"/>
      <c r="MIY102" s="450"/>
      <c r="MIZ102" s="450"/>
      <c r="MJA102" s="450"/>
      <c r="MJB102" s="450"/>
      <c r="MJC102" s="450"/>
      <c r="MJD102" s="450"/>
      <c r="MJE102" s="450"/>
      <c r="MJF102" s="450"/>
      <c r="MJG102" s="450"/>
      <c r="MJH102" s="450"/>
      <c r="MJI102" s="450"/>
      <c r="MJJ102" s="450"/>
      <c r="MJK102" s="450"/>
      <c r="MJL102" s="450"/>
      <c r="MJM102" s="450"/>
      <c r="MJN102" s="450"/>
      <c r="MJO102" s="450"/>
      <c r="MJP102" s="450"/>
      <c r="MJQ102" s="450"/>
      <c r="MJR102" s="450"/>
      <c r="MJS102" s="450"/>
      <c r="MJT102" s="450"/>
      <c r="MJU102" s="450"/>
      <c r="MJV102" s="450"/>
      <c r="MJW102" s="450"/>
      <c r="MJX102" s="450"/>
      <c r="MJY102" s="450"/>
      <c r="MJZ102" s="450"/>
      <c r="MKA102" s="450"/>
      <c r="MKB102" s="450"/>
      <c r="MKC102" s="450"/>
      <c r="MKD102" s="450"/>
      <c r="MKE102" s="450"/>
      <c r="MKF102" s="450"/>
      <c r="MKG102" s="450"/>
      <c r="MKH102" s="450"/>
      <c r="MKI102" s="450"/>
      <c r="MKJ102" s="450"/>
      <c r="MKK102" s="450"/>
      <c r="MKL102" s="450"/>
      <c r="MKM102" s="450"/>
      <c r="MKN102" s="450"/>
      <c r="MKO102" s="450"/>
      <c r="MKP102" s="450"/>
      <c r="MKQ102" s="450"/>
      <c r="MKR102" s="450"/>
      <c r="MKS102" s="450"/>
      <c r="MKT102" s="450"/>
      <c r="MKU102" s="450"/>
      <c r="MKV102" s="450"/>
      <c r="MKW102" s="450"/>
      <c r="MKX102" s="450"/>
      <c r="MKY102" s="450"/>
      <c r="MKZ102" s="450"/>
      <c r="MLA102" s="450"/>
      <c r="MLB102" s="450"/>
      <c r="MLC102" s="450"/>
      <c r="MLD102" s="450"/>
      <c r="MLE102" s="450"/>
      <c r="MLF102" s="450"/>
      <c r="MLG102" s="450"/>
      <c r="MLH102" s="450"/>
      <c r="MLI102" s="450"/>
      <c r="MLJ102" s="450"/>
      <c r="MLK102" s="450"/>
      <c r="MLL102" s="450"/>
      <c r="MLM102" s="450"/>
      <c r="MLN102" s="450"/>
      <c r="MLO102" s="450"/>
      <c r="MLP102" s="450"/>
      <c r="MLQ102" s="450"/>
      <c r="MLR102" s="450"/>
      <c r="MLS102" s="450"/>
      <c r="MLT102" s="450"/>
      <c r="MLU102" s="450"/>
      <c r="MLV102" s="450"/>
      <c r="MLW102" s="450"/>
      <c r="MLX102" s="450"/>
      <c r="MLY102" s="450"/>
      <c r="MLZ102" s="450"/>
      <c r="MMA102" s="450"/>
      <c r="MMB102" s="450"/>
      <c r="MMC102" s="450"/>
      <c r="MMD102" s="450"/>
      <c r="MME102" s="450"/>
      <c r="MMF102" s="450"/>
      <c r="MMG102" s="450"/>
      <c r="MMH102" s="450"/>
      <c r="MMI102" s="450"/>
      <c r="MMJ102" s="450"/>
      <c r="MMK102" s="450"/>
      <c r="MML102" s="450"/>
      <c r="MMM102" s="450"/>
      <c r="MMN102" s="450"/>
      <c r="MMO102" s="450"/>
      <c r="MMP102" s="450"/>
      <c r="MMQ102" s="450"/>
      <c r="MMR102" s="450"/>
      <c r="MMS102" s="450"/>
      <c r="MMT102" s="450"/>
      <c r="MMU102" s="450"/>
      <c r="MMV102" s="450"/>
      <c r="MMW102" s="450"/>
      <c r="MMX102" s="450"/>
      <c r="MMY102" s="450"/>
      <c r="MMZ102" s="450"/>
      <c r="MNA102" s="450"/>
      <c r="MNB102" s="450"/>
      <c r="MNC102" s="450"/>
      <c r="MND102" s="450"/>
      <c r="MNE102" s="450"/>
      <c r="MNF102" s="450"/>
      <c r="MNG102" s="450"/>
      <c r="MNH102" s="450"/>
      <c r="MNI102" s="450"/>
      <c r="MNJ102" s="450"/>
      <c r="MNK102" s="450"/>
      <c r="MNL102" s="450"/>
      <c r="MNM102" s="450"/>
      <c r="MNN102" s="450"/>
      <c r="MNO102" s="450"/>
      <c r="MNP102" s="450"/>
      <c r="MNQ102" s="450"/>
      <c r="MNR102" s="450"/>
      <c r="MNS102" s="450"/>
      <c r="MNT102" s="450"/>
      <c r="MNU102" s="450"/>
      <c r="MNV102" s="450"/>
      <c r="MNW102" s="450"/>
      <c r="MNX102" s="450"/>
      <c r="MNY102" s="450"/>
      <c r="MNZ102" s="450"/>
      <c r="MOA102" s="450"/>
      <c r="MOB102" s="450"/>
      <c r="MOC102" s="450"/>
      <c r="MOD102" s="450"/>
      <c r="MOE102" s="450"/>
      <c r="MOF102" s="450"/>
      <c r="MOG102" s="450"/>
      <c r="MOH102" s="450"/>
      <c r="MOI102" s="450"/>
      <c r="MOJ102" s="450"/>
      <c r="MOK102" s="450"/>
      <c r="MOL102" s="450"/>
      <c r="MOM102" s="450"/>
      <c r="MON102" s="450"/>
      <c r="MOO102" s="450"/>
      <c r="MOP102" s="450"/>
      <c r="MOQ102" s="450"/>
      <c r="MOR102" s="450"/>
      <c r="MOS102" s="450"/>
      <c r="MOT102" s="450"/>
      <c r="MOU102" s="450"/>
      <c r="MOV102" s="450"/>
      <c r="MOW102" s="450"/>
      <c r="MOX102" s="450"/>
      <c r="MOY102" s="450"/>
      <c r="MOZ102" s="450"/>
      <c r="MPA102" s="450"/>
      <c r="MPB102" s="450"/>
      <c r="MPC102" s="450"/>
      <c r="MPD102" s="450"/>
      <c r="MPE102" s="450"/>
      <c r="MPF102" s="450"/>
      <c r="MPG102" s="450"/>
      <c r="MPH102" s="450"/>
      <c r="MPI102" s="450"/>
      <c r="MPJ102" s="450"/>
      <c r="MPK102" s="450"/>
      <c r="MPL102" s="450"/>
      <c r="MPM102" s="450"/>
      <c r="MPN102" s="450"/>
      <c r="MPO102" s="450"/>
      <c r="MPP102" s="450"/>
      <c r="MPQ102" s="450"/>
      <c r="MPR102" s="450"/>
      <c r="MPS102" s="450"/>
      <c r="MPT102" s="450"/>
      <c r="MPU102" s="450"/>
      <c r="MPV102" s="450"/>
      <c r="MPW102" s="450"/>
      <c r="MPX102" s="450"/>
      <c r="MPY102" s="450"/>
      <c r="MPZ102" s="450"/>
      <c r="MQA102" s="450"/>
      <c r="MQB102" s="450"/>
      <c r="MQC102" s="450"/>
      <c r="MQD102" s="450"/>
      <c r="MQE102" s="450"/>
      <c r="MQF102" s="450"/>
      <c r="MQG102" s="450"/>
      <c r="MQH102" s="450"/>
      <c r="MQI102" s="450"/>
      <c r="MQJ102" s="450"/>
      <c r="MQK102" s="450"/>
      <c r="MQL102" s="450"/>
      <c r="MQM102" s="450"/>
      <c r="MQN102" s="450"/>
      <c r="MQO102" s="450"/>
      <c r="MQP102" s="450"/>
      <c r="MQQ102" s="450"/>
      <c r="MQR102" s="450"/>
      <c r="MQS102" s="450"/>
      <c r="MQT102" s="450"/>
      <c r="MQU102" s="450"/>
      <c r="MQV102" s="450"/>
      <c r="MQW102" s="450"/>
      <c r="MQX102" s="450"/>
      <c r="MQY102" s="450"/>
      <c r="MQZ102" s="450"/>
      <c r="MRA102" s="450"/>
      <c r="MRB102" s="450"/>
      <c r="MRC102" s="450"/>
      <c r="MRD102" s="450"/>
      <c r="MRE102" s="450"/>
      <c r="MRF102" s="450"/>
      <c r="MRG102" s="450"/>
      <c r="MRH102" s="450"/>
      <c r="MRI102" s="450"/>
      <c r="MRJ102" s="450"/>
      <c r="MRK102" s="450"/>
      <c r="MRL102" s="450"/>
      <c r="MRM102" s="450"/>
      <c r="MRN102" s="450"/>
      <c r="MRO102" s="450"/>
      <c r="MRP102" s="450"/>
      <c r="MRQ102" s="450"/>
      <c r="MRR102" s="450"/>
      <c r="MRS102" s="450"/>
      <c r="MRT102" s="450"/>
      <c r="MRU102" s="450"/>
      <c r="MRV102" s="450"/>
      <c r="MRW102" s="450"/>
      <c r="MRX102" s="450"/>
      <c r="MRY102" s="450"/>
      <c r="MRZ102" s="450"/>
      <c r="MSA102" s="450"/>
      <c r="MSB102" s="450"/>
      <c r="MSC102" s="450"/>
      <c r="MSD102" s="450"/>
      <c r="MSE102" s="450"/>
      <c r="MSF102" s="450"/>
      <c r="MSG102" s="450"/>
      <c r="MSH102" s="450"/>
      <c r="MSI102" s="450"/>
      <c r="MSJ102" s="450"/>
      <c r="MSK102" s="450"/>
      <c r="MSL102" s="450"/>
      <c r="MSM102" s="450"/>
      <c r="MSN102" s="450"/>
      <c r="MSO102" s="450"/>
      <c r="MSP102" s="450"/>
      <c r="MSQ102" s="450"/>
      <c r="MSR102" s="450"/>
      <c r="MSS102" s="450"/>
      <c r="MST102" s="450"/>
      <c r="MSU102" s="450"/>
      <c r="MSV102" s="450"/>
      <c r="MSW102" s="450"/>
      <c r="MSX102" s="450"/>
      <c r="MSY102" s="450"/>
      <c r="MSZ102" s="450"/>
      <c r="MTA102" s="450"/>
      <c r="MTB102" s="450"/>
      <c r="MTC102" s="450"/>
      <c r="MTD102" s="450"/>
      <c r="MTE102" s="450"/>
      <c r="MTF102" s="450"/>
      <c r="MTG102" s="450"/>
      <c r="MTH102" s="450"/>
      <c r="MTI102" s="450"/>
      <c r="MTJ102" s="450"/>
      <c r="MTK102" s="450"/>
      <c r="MTL102" s="450"/>
      <c r="MTM102" s="450"/>
      <c r="MTN102" s="450"/>
      <c r="MTO102" s="450"/>
      <c r="MTP102" s="450"/>
      <c r="MTQ102" s="450"/>
      <c r="MTR102" s="450"/>
      <c r="MTS102" s="450"/>
      <c r="MTT102" s="450"/>
      <c r="MTU102" s="450"/>
      <c r="MTV102" s="450"/>
      <c r="MTW102" s="450"/>
      <c r="MTX102" s="450"/>
      <c r="MTY102" s="450"/>
      <c r="MTZ102" s="450"/>
      <c r="MUA102" s="450"/>
      <c r="MUB102" s="450"/>
      <c r="MUC102" s="450"/>
      <c r="MUD102" s="450"/>
      <c r="MUE102" s="450"/>
      <c r="MUF102" s="450"/>
      <c r="MUG102" s="450"/>
      <c r="MUH102" s="450"/>
      <c r="MUI102" s="450"/>
      <c r="MUJ102" s="450"/>
      <c r="MUK102" s="450"/>
      <c r="MUL102" s="450"/>
      <c r="MUM102" s="450"/>
      <c r="MUN102" s="450"/>
      <c r="MUO102" s="450"/>
      <c r="MUP102" s="450"/>
      <c r="MUQ102" s="450"/>
      <c r="MUR102" s="450"/>
      <c r="MUS102" s="450"/>
      <c r="MUT102" s="450"/>
      <c r="MUU102" s="450"/>
      <c r="MUV102" s="450"/>
      <c r="MUW102" s="450"/>
      <c r="MUX102" s="450"/>
      <c r="MUY102" s="450"/>
      <c r="MUZ102" s="450"/>
      <c r="MVA102" s="450"/>
      <c r="MVB102" s="450"/>
      <c r="MVC102" s="450"/>
      <c r="MVD102" s="450"/>
      <c r="MVE102" s="450"/>
      <c r="MVF102" s="450"/>
      <c r="MVG102" s="450"/>
      <c r="MVH102" s="450"/>
      <c r="MVI102" s="450"/>
      <c r="MVJ102" s="450"/>
      <c r="MVK102" s="450"/>
      <c r="MVL102" s="450"/>
      <c r="MVM102" s="450"/>
      <c r="MVN102" s="450"/>
      <c r="MVO102" s="450"/>
      <c r="MVP102" s="450"/>
      <c r="MVQ102" s="450"/>
      <c r="MVR102" s="450"/>
      <c r="MVS102" s="450"/>
      <c r="MVT102" s="450"/>
      <c r="MVU102" s="450"/>
      <c r="MVV102" s="450"/>
      <c r="MVW102" s="450"/>
      <c r="MVX102" s="450"/>
      <c r="MVY102" s="450"/>
      <c r="MVZ102" s="450"/>
      <c r="MWA102" s="450"/>
      <c r="MWB102" s="450"/>
      <c r="MWC102" s="450"/>
      <c r="MWD102" s="450"/>
      <c r="MWE102" s="450"/>
      <c r="MWF102" s="450"/>
      <c r="MWG102" s="450"/>
      <c r="MWH102" s="450"/>
      <c r="MWI102" s="450"/>
      <c r="MWJ102" s="450"/>
      <c r="MWK102" s="450"/>
      <c r="MWL102" s="450"/>
      <c r="MWM102" s="450"/>
      <c r="MWN102" s="450"/>
      <c r="MWO102" s="450"/>
      <c r="MWP102" s="450"/>
      <c r="MWQ102" s="450"/>
      <c r="MWR102" s="450"/>
      <c r="MWS102" s="450"/>
      <c r="MWT102" s="450"/>
      <c r="MWU102" s="450"/>
      <c r="MWV102" s="450"/>
      <c r="MWW102" s="450"/>
      <c r="MWX102" s="450"/>
      <c r="MWY102" s="450"/>
      <c r="MWZ102" s="450"/>
      <c r="MXA102" s="450"/>
      <c r="MXB102" s="450"/>
      <c r="MXC102" s="450"/>
      <c r="MXD102" s="450"/>
      <c r="MXE102" s="450"/>
      <c r="MXF102" s="450"/>
      <c r="MXG102" s="450"/>
      <c r="MXH102" s="450"/>
      <c r="MXI102" s="450"/>
      <c r="MXJ102" s="450"/>
      <c r="MXK102" s="450"/>
      <c r="MXL102" s="450"/>
      <c r="MXM102" s="450"/>
      <c r="MXN102" s="450"/>
      <c r="MXO102" s="450"/>
      <c r="MXP102" s="450"/>
      <c r="MXQ102" s="450"/>
      <c r="MXR102" s="450"/>
      <c r="MXS102" s="450"/>
      <c r="MXT102" s="450"/>
      <c r="MXU102" s="450"/>
      <c r="MXV102" s="450"/>
      <c r="MXW102" s="450"/>
      <c r="MXX102" s="450"/>
      <c r="MXY102" s="450"/>
      <c r="MXZ102" s="450"/>
      <c r="MYA102" s="450"/>
      <c r="MYB102" s="450"/>
      <c r="MYC102" s="450"/>
      <c r="MYD102" s="450"/>
      <c r="MYE102" s="450"/>
      <c r="MYF102" s="450"/>
      <c r="MYG102" s="450"/>
      <c r="MYH102" s="450"/>
      <c r="MYI102" s="450"/>
      <c r="MYJ102" s="450"/>
      <c r="MYK102" s="450"/>
      <c r="MYL102" s="450"/>
      <c r="MYM102" s="450"/>
      <c r="MYN102" s="450"/>
      <c r="MYO102" s="450"/>
      <c r="MYP102" s="450"/>
      <c r="MYQ102" s="450"/>
      <c r="MYR102" s="450"/>
      <c r="MYS102" s="450"/>
      <c r="MYT102" s="450"/>
      <c r="MYU102" s="450"/>
      <c r="MYV102" s="450"/>
      <c r="MYW102" s="450"/>
      <c r="MYX102" s="450"/>
      <c r="MYY102" s="450"/>
      <c r="MYZ102" s="450"/>
      <c r="MZA102" s="450"/>
      <c r="MZB102" s="450"/>
      <c r="MZC102" s="450"/>
      <c r="MZD102" s="450"/>
      <c r="MZE102" s="450"/>
      <c r="MZF102" s="450"/>
      <c r="MZG102" s="450"/>
      <c r="MZH102" s="450"/>
      <c r="MZI102" s="450"/>
      <c r="MZJ102" s="450"/>
      <c r="MZK102" s="450"/>
      <c r="MZL102" s="450"/>
      <c r="MZM102" s="450"/>
      <c r="MZN102" s="450"/>
      <c r="MZO102" s="450"/>
      <c r="MZP102" s="450"/>
      <c r="MZQ102" s="450"/>
      <c r="MZR102" s="450"/>
      <c r="MZS102" s="450"/>
      <c r="MZT102" s="450"/>
      <c r="MZU102" s="450"/>
      <c r="MZV102" s="450"/>
      <c r="MZW102" s="450"/>
      <c r="MZX102" s="450"/>
      <c r="MZY102" s="450"/>
      <c r="MZZ102" s="450"/>
      <c r="NAA102" s="450"/>
      <c r="NAB102" s="450"/>
      <c r="NAC102" s="450"/>
      <c r="NAD102" s="450"/>
      <c r="NAE102" s="450"/>
      <c r="NAF102" s="450"/>
      <c r="NAG102" s="450"/>
      <c r="NAH102" s="450"/>
      <c r="NAI102" s="450"/>
      <c r="NAJ102" s="450"/>
      <c r="NAK102" s="450"/>
      <c r="NAL102" s="450"/>
      <c r="NAM102" s="450"/>
      <c r="NAN102" s="450"/>
      <c r="NAO102" s="450"/>
      <c r="NAP102" s="450"/>
      <c r="NAQ102" s="450"/>
      <c r="NAR102" s="450"/>
      <c r="NAS102" s="450"/>
      <c r="NAT102" s="450"/>
      <c r="NAU102" s="450"/>
      <c r="NAV102" s="450"/>
      <c r="NAW102" s="450"/>
      <c r="NAX102" s="450"/>
      <c r="NAY102" s="450"/>
      <c r="NAZ102" s="450"/>
      <c r="NBA102" s="450"/>
      <c r="NBB102" s="450"/>
      <c r="NBC102" s="450"/>
      <c r="NBD102" s="450"/>
      <c r="NBE102" s="450"/>
      <c r="NBF102" s="450"/>
      <c r="NBG102" s="450"/>
      <c r="NBH102" s="450"/>
      <c r="NBI102" s="450"/>
      <c r="NBJ102" s="450"/>
      <c r="NBK102" s="450"/>
      <c r="NBL102" s="450"/>
      <c r="NBM102" s="450"/>
      <c r="NBN102" s="450"/>
      <c r="NBO102" s="450"/>
      <c r="NBP102" s="450"/>
      <c r="NBQ102" s="450"/>
      <c r="NBR102" s="450"/>
      <c r="NBS102" s="450"/>
      <c r="NBT102" s="450"/>
      <c r="NBU102" s="450"/>
      <c r="NBV102" s="450"/>
      <c r="NBW102" s="450"/>
      <c r="NBX102" s="450"/>
      <c r="NBY102" s="450"/>
      <c r="NBZ102" s="450"/>
      <c r="NCA102" s="450"/>
      <c r="NCB102" s="450"/>
      <c r="NCC102" s="450"/>
      <c r="NCD102" s="450"/>
      <c r="NCE102" s="450"/>
      <c r="NCF102" s="450"/>
      <c r="NCG102" s="450"/>
      <c r="NCH102" s="450"/>
      <c r="NCI102" s="450"/>
      <c r="NCJ102" s="450"/>
      <c r="NCK102" s="450"/>
      <c r="NCL102" s="450"/>
      <c r="NCM102" s="450"/>
      <c r="NCN102" s="450"/>
      <c r="NCO102" s="450"/>
      <c r="NCP102" s="450"/>
      <c r="NCQ102" s="450"/>
      <c r="NCR102" s="450"/>
      <c r="NCS102" s="450"/>
      <c r="NCT102" s="450"/>
      <c r="NCU102" s="450"/>
      <c r="NCV102" s="450"/>
      <c r="NCW102" s="450"/>
      <c r="NCX102" s="450"/>
      <c r="NCY102" s="450"/>
      <c r="NCZ102" s="450"/>
      <c r="NDA102" s="450"/>
      <c r="NDB102" s="450"/>
      <c r="NDC102" s="450"/>
      <c r="NDD102" s="450"/>
      <c r="NDE102" s="450"/>
      <c r="NDF102" s="450"/>
      <c r="NDG102" s="450"/>
      <c r="NDH102" s="450"/>
      <c r="NDI102" s="450"/>
      <c r="NDJ102" s="450"/>
      <c r="NDK102" s="450"/>
      <c r="NDL102" s="450"/>
      <c r="NDM102" s="450"/>
      <c r="NDN102" s="450"/>
      <c r="NDO102" s="450"/>
      <c r="NDP102" s="450"/>
      <c r="NDQ102" s="450"/>
      <c r="NDR102" s="450"/>
      <c r="NDS102" s="450"/>
      <c r="NDT102" s="450"/>
      <c r="NDU102" s="450"/>
      <c r="NDV102" s="450"/>
      <c r="NDW102" s="450"/>
      <c r="NDX102" s="450"/>
      <c r="NDY102" s="450"/>
      <c r="NDZ102" s="450"/>
      <c r="NEA102" s="450"/>
      <c r="NEB102" s="450"/>
      <c r="NEC102" s="450"/>
      <c r="NED102" s="450"/>
      <c r="NEE102" s="450"/>
      <c r="NEF102" s="450"/>
      <c r="NEG102" s="450"/>
      <c r="NEH102" s="450"/>
      <c r="NEI102" s="450"/>
      <c r="NEJ102" s="450"/>
      <c r="NEK102" s="450"/>
      <c r="NEL102" s="450"/>
      <c r="NEM102" s="450"/>
      <c r="NEN102" s="450"/>
      <c r="NEO102" s="450"/>
      <c r="NEP102" s="450"/>
      <c r="NEQ102" s="450"/>
      <c r="NER102" s="450"/>
      <c r="NES102" s="450"/>
      <c r="NET102" s="450"/>
      <c r="NEU102" s="450"/>
      <c r="NEV102" s="450"/>
      <c r="NEW102" s="450"/>
      <c r="NEX102" s="450"/>
      <c r="NEY102" s="450"/>
      <c r="NEZ102" s="450"/>
      <c r="NFA102" s="450"/>
      <c r="NFB102" s="450"/>
      <c r="NFC102" s="450"/>
      <c r="NFD102" s="450"/>
      <c r="NFE102" s="450"/>
      <c r="NFF102" s="450"/>
      <c r="NFG102" s="450"/>
      <c r="NFH102" s="450"/>
      <c r="NFI102" s="450"/>
      <c r="NFJ102" s="450"/>
      <c r="NFK102" s="450"/>
      <c r="NFL102" s="450"/>
      <c r="NFM102" s="450"/>
      <c r="NFN102" s="450"/>
      <c r="NFO102" s="450"/>
      <c r="NFP102" s="450"/>
      <c r="NFQ102" s="450"/>
      <c r="NFR102" s="450"/>
      <c r="NFS102" s="450"/>
      <c r="NFT102" s="450"/>
      <c r="NFU102" s="450"/>
      <c r="NFV102" s="450"/>
      <c r="NFW102" s="450"/>
      <c r="NFX102" s="450"/>
      <c r="NFY102" s="450"/>
      <c r="NFZ102" s="450"/>
      <c r="NGA102" s="450"/>
      <c r="NGB102" s="450"/>
      <c r="NGC102" s="450"/>
      <c r="NGD102" s="450"/>
      <c r="NGE102" s="450"/>
      <c r="NGF102" s="450"/>
      <c r="NGG102" s="450"/>
      <c r="NGH102" s="450"/>
      <c r="NGI102" s="450"/>
      <c r="NGJ102" s="450"/>
      <c r="NGK102" s="450"/>
      <c r="NGL102" s="450"/>
      <c r="NGM102" s="450"/>
      <c r="NGN102" s="450"/>
      <c r="NGO102" s="450"/>
      <c r="NGP102" s="450"/>
      <c r="NGQ102" s="450"/>
      <c r="NGR102" s="450"/>
      <c r="NGS102" s="450"/>
      <c r="NGT102" s="450"/>
      <c r="NGU102" s="450"/>
      <c r="NGV102" s="450"/>
      <c r="NGW102" s="450"/>
      <c r="NGX102" s="450"/>
      <c r="NGY102" s="450"/>
      <c r="NGZ102" s="450"/>
      <c r="NHA102" s="450"/>
      <c r="NHB102" s="450"/>
      <c r="NHC102" s="450"/>
      <c r="NHD102" s="450"/>
      <c r="NHE102" s="450"/>
      <c r="NHF102" s="450"/>
      <c r="NHG102" s="450"/>
      <c r="NHH102" s="450"/>
      <c r="NHI102" s="450"/>
      <c r="NHJ102" s="450"/>
      <c r="NHK102" s="450"/>
      <c r="NHL102" s="450"/>
      <c r="NHM102" s="450"/>
      <c r="NHN102" s="450"/>
      <c r="NHO102" s="450"/>
      <c r="NHP102" s="450"/>
      <c r="NHQ102" s="450"/>
      <c r="NHR102" s="450"/>
      <c r="NHS102" s="450"/>
      <c r="NHT102" s="450"/>
      <c r="NHU102" s="450"/>
      <c r="NHV102" s="450"/>
      <c r="NHW102" s="450"/>
      <c r="NHX102" s="450"/>
      <c r="NHY102" s="450"/>
      <c r="NHZ102" s="450"/>
      <c r="NIA102" s="450"/>
      <c r="NIB102" s="450"/>
      <c r="NIC102" s="450"/>
      <c r="NID102" s="450"/>
      <c r="NIE102" s="450"/>
      <c r="NIF102" s="450"/>
      <c r="NIG102" s="450"/>
      <c r="NIH102" s="450"/>
      <c r="NII102" s="450"/>
      <c r="NIJ102" s="450"/>
      <c r="NIK102" s="450"/>
      <c r="NIL102" s="450"/>
      <c r="NIM102" s="450"/>
      <c r="NIN102" s="450"/>
      <c r="NIO102" s="450"/>
      <c r="NIP102" s="450"/>
      <c r="NIQ102" s="450"/>
      <c r="NIR102" s="450"/>
      <c r="NIS102" s="450"/>
      <c r="NIT102" s="450"/>
      <c r="NIU102" s="450"/>
      <c r="NIV102" s="450"/>
      <c r="NIW102" s="450"/>
      <c r="NIX102" s="450"/>
      <c r="NIY102" s="450"/>
      <c r="NIZ102" s="450"/>
      <c r="NJA102" s="450"/>
      <c r="NJB102" s="450"/>
      <c r="NJC102" s="450"/>
      <c r="NJD102" s="450"/>
      <c r="NJE102" s="450"/>
      <c r="NJF102" s="450"/>
      <c r="NJG102" s="450"/>
      <c r="NJH102" s="450"/>
      <c r="NJI102" s="450"/>
      <c r="NJJ102" s="450"/>
      <c r="NJK102" s="450"/>
      <c r="NJL102" s="450"/>
      <c r="NJM102" s="450"/>
      <c r="NJN102" s="450"/>
      <c r="NJO102" s="450"/>
      <c r="NJP102" s="450"/>
      <c r="NJQ102" s="450"/>
      <c r="NJR102" s="450"/>
      <c r="NJS102" s="450"/>
      <c r="NJT102" s="450"/>
      <c r="NJU102" s="450"/>
      <c r="NJV102" s="450"/>
      <c r="NJW102" s="450"/>
      <c r="NJX102" s="450"/>
      <c r="NJY102" s="450"/>
      <c r="NJZ102" s="450"/>
      <c r="NKA102" s="450"/>
      <c r="NKB102" s="450"/>
      <c r="NKC102" s="450"/>
      <c r="NKD102" s="450"/>
      <c r="NKE102" s="450"/>
      <c r="NKF102" s="450"/>
      <c r="NKG102" s="450"/>
      <c r="NKH102" s="450"/>
      <c r="NKI102" s="450"/>
      <c r="NKJ102" s="450"/>
      <c r="NKK102" s="450"/>
      <c r="NKL102" s="450"/>
      <c r="NKM102" s="450"/>
      <c r="NKN102" s="450"/>
      <c r="NKO102" s="450"/>
      <c r="NKP102" s="450"/>
      <c r="NKQ102" s="450"/>
      <c r="NKR102" s="450"/>
      <c r="NKS102" s="450"/>
      <c r="NKT102" s="450"/>
      <c r="NKU102" s="450"/>
      <c r="NKV102" s="450"/>
      <c r="NKW102" s="450"/>
      <c r="NKX102" s="450"/>
      <c r="NKY102" s="450"/>
      <c r="NKZ102" s="450"/>
      <c r="NLA102" s="450"/>
      <c r="NLB102" s="450"/>
      <c r="NLC102" s="450"/>
      <c r="NLD102" s="450"/>
      <c r="NLE102" s="450"/>
      <c r="NLF102" s="450"/>
      <c r="NLG102" s="450"/>
      <c r="NLH102" s="450"/>
      <c r="NLI102" s="450"/>
      <c r="NLJ102" s="450"/>
      <c r="NLK102" s="450"/>
      <c r="NLL102" s="450"/>
      <c r="NLM102" s="450"/>
      <c r="NLN102" s="450"/>
      <c r="NLO102" s="450"/>
      <c r="NLP102" s="450"/>
      <c r="NLQ102" s="450"/>
      <c r="NLR102" s="450"/>
      <c r="NLS102" s="450"/>
      <c r="NLT102" s="450"/>
      <c r="NLU102" s="450"/>
      <c r="NLV102" s="450"/>
      <c r="NLW102" s="450"/>
      <c r="NLX102" s="450"/>
      <c r="NLY102" s="450"/>
      <c r="NLZ102" s="450"/>
      <c r="NMA102" s="450"/>
      <c r="NMB102" s="450"/>
      <c r="NMC102" s="450"/>
      <c r="NMD102" s="450"/>
      <c r="NME102" s="450"/>
      <c r="NMF102" s="450"/>
      <c r="NMG102" s="450"/>
      <c r="NMH102" s="450"/>
      <c r="NMI102" s="450"/>
      <c r="NMJ102" s="450"/>
      <c r="NMK102" s="450"/>
      <c r="NML102" s="450"/>
      <c r="NMM102" s="450"/>
      <c r="NMN102" s="450"/>
      <c r="NMO102" s="450"/>
      <c r="NMP102" s="450"/>
      <c r="NMQ102" s="450"/>
      <c r="NMR102" s="450"/>
      <c r="NMS102" s="450"/>
      <c r="NMT102" s="450"/>
      <c r="NMU102" s="450"/>
      <c r="NMV102" s="450"/>
      <c r="NMW102" s="450"/>
      <c r="NMX102" s="450"/>
      <c r="NMY102" s="450"/>
      <c r="NMZ102" s="450"/>
      <c r="NNA102" s="450"/>
      <c r="NNB102" s="450"/>
      <c r="NNC102" s="450"/>
      <c r="NND102" s="450"/>
      <c r="NNE102" s="450"/>
      <c r="NNF102" s="450"/>
      <c r="NNG102" s="450"/>
      <c r="NNH102" s="450"/>
      <c r="NNI102" s="450"/>
      <c r="NNJ102" s="450"/>
      <c r="NNK102" s="450"/>
      <c r="NNL102" s="450"/>
      <c r="NNM102" s="450"/>
      <c r="NNN102" s="450"/>
      <c r="NNO102" s="450"/>
      <c r="NNP102" s="450"/>
      <c r="NNQ102" s="450"/>
      <c r="NNR102" s="450"/>
      <c r="NNS102" s="450"/>
      <c r="NNT102" s="450"/>
      <c r="NNU102" s="450"/>
      <c r="NNV102" s="450"/>
      <c r="NNW102" s="450"/>
      <c r="NNX102" s="450"/>
      <c r="NNY102" s="450"/>
      <c r="NNZ102" s="450"/>
      <c r="NOA102" s="450"/>
      <c r="NOB102" s="450"/>
      <c r="NOC102" s="450"/>
      <c r="NOD102" s="450"/>
      <c r="NOE102" s="450"/>
      <c r="NOF102" s="450"/>
      <c r="NOG102" s="450"/>
      <c r="NOH102" s="450"/>
      <c r="NOI102" s="450"/>
      <c r="NOJ102" s="450"/>
      <c r="NOK102" s="450"/>
      <c r="NOL102" s="450"/>
      <c r="NOM102" s="450"/>
      <c r="NON102" s="450"/>
      <c r="NOO102" s="450"/>
      <c r="NOP102" s="450"/>
      <c r="NOQ102" s="450"/>
      <c r="NOR102" s="450"/>
      <c r="NOS102" s="450"/>
      <c r="NOT102" s="450"/>
      <c r="NOU102" s="450"/>
      <c r="NOV102" s="450"/>
      <c r="NOW102" s="450"/>
      <c r="NOX102" s="450"/>
      <c r="NOY102" s="450"/>
      <c r="NOZ102" s="450"/>
      <c r="NPA102" s="450"/>
      <c r="NPB102" s="450"/>
      <c r="NPC102" s="450"/>
      <c r="NPD102" s="450"/>
      <c r="NPE102" s="450"/>
      <c r="NPF102" s="450"/>
      <c r="NPG102" s="450"/>
      <c r="NPH102" s="450"/>
      <c r="NPI102" s="450"/>
      <c r="NPJ102" s="450"/>
      <c r="NPK102" s="450"/>
      <c r="NPL102" s="450"/>
      <c r="NPM102" s="450"/>
      <c r="NPN102" s="450"/>
      <c r="NPO102" s="450"/>
      <c r="NPP102" s="450"/>
      <c r="NPQ102" s="450"/>
      <c r="NPR102" s="450"/>
      <c r="NPS102" s="450"/>
      <c r="NPT102" s="450"/>
      <c r="NPU102" s="450"/>
      <c r="NPV102" s="450"/>
      <c r="NPW102" s="450"/>
      <c r="NPX102" s="450"/>
      <c r="NPY102" s="450"/>
      <c r="NPZ102" s="450"/>
      <c r="NQA102" s="450"/>
      <c r="NQB102" s="450"/>
      <c r="NQC102" s="450"/>
      <c r="NQD102" s="450"/>
      <c r="NQE102" s="450"/>
      <c r="NQF102" s="450"/>
      <c r="NQG102" s="450"/>
      <c r="NQH102" s="450"/>
      <c r="NQI102" s="450"/>
      <c r="NQJ102" s="450"/>
      <c r="NQK102" s="450"/>
      <c r="NQL102" s="450"/>
      <c r="NQM102" s="450"/>
      <c r="NQN102" s="450"/>
      <c r="NQO102" s="450"/>
      <c r="NQP102" s="450"/>
      <c r="NQQ102" s="450"/>
      <c r="NQR102" s="450"/>
      <c r="NQS102" s="450"/>
      <c r="NQT102" s="450"/>
      <c r="NQU102" s="450"/>
      <c r="NQV102" s="450"/>
      <c r="NQW102" s="450"/>
      <c r="NQX102" s="450"/>
      <c r="NQY102" s="450"/>
      <c r="NQZ102" s="450"/>
      <c r="NRA102" s="450"/>
      <c r="NRB102" s="450"/>
      <c r="NRC102" s="450"/>
      <c r="NRD102" s="450"/>
      <c r="NRE102" s="450"/>
      <c r="NRF102" s="450"/>
      <c r="NRG102" s="450"/>
      <c r="NRH102" s="450"/>
      <c r="NRI102" s="450"/>
      <c r="NRJ102" s="450"/>
      <c r="NRK102" s="450"/>
      <c r="NRL102" s="450"/>
      <c r="NRM102" s="450"/>
      <c r="NRN102" s="450"/>
      <c r="NRO102" s="450"/>
      <c r="NRP102" s="450"/>
      <c r="NRQ102" s="450"/>
      <c r="NRR102" s="450"/>
      <c r="NRS102" s="450"/>
      <c r="NRT102" s="450"/>
      <c r="NRU102" s="450"/>
      <c r="NRV102" s="450"/>
      <c r="NRW102" s="450"/>
      <c r="NRX102" s="450"/>
      <c r="NRY102" s="450"/>
      <c r="NRZ102" s="450"/>
      <c r="NSA102" s="450"/>
      <c r="NSB102" s="450"/>
      <c r="NSC102" s="450"/>
      <c r="NSD102" s="450"/>
      <c r="NSE102" s="450"/>
      <c r="NSF102" s="450"/>
      <c r="NSG102" s="450"/>
      <c r="NSH102" s="450"/>
      <c r="NSI102" s="450"/>
      <c r="NSJ102" s="450"/>
      <c r="NSK102" s="450"/>
      <c r="NSL102" s="450"/>
      <c r="NSM102" s="450"/>
      <c r="NSN102" s="450"/>
      <c r="NSO102" s="450"/>
      <c r="NSP102" s="450"/>
      <c r="NSQ102" s="450"/>
      <c r="NSR102" s="450"/>
      <c r="NSS102" s="450"/>
      <c r="NST102" s="450"/>
      <c r="NSU102" s="450"/>
      <c r="NSV102" s="450"/>
      <c r="NSW102" s="450"/>
      <c r="NSX102" s="450"/>
      <c r="NSY102" s="450"/>
      <c r="NSZ102" s="450"/>
      <c r="NTA102" s="450"/>
      <c r="NTB102" s="450"/>
      <c r="NTC102" s="450"/>
      <c r="NTD102" s="450"/>
      <c r="NTE102" s="450"/>
      <c r="NTF102" s="450"/>
      <c r="NTG102" s="450"/>
      <c r="NTH102" s="450"/>
      <c r="NTI102" s="450"/>
      <c r="NTJ102" s="450"/>
      <c r="NTK102" s="450"/>
      <c r="NTL102" s="450"/>
      <c r="NTM102" s="450"/>
      <c r="NTN102" s="450"/>
      <c r="NTO102" s="450"/>
      <c r="NTP102" s="450"/>
      <c r="NTQ102" s="450"/>
      <c r="NTR102" s="450"/>
      <c r="NTS102" s="450"/>
      <c r="NTT102" s="450"/>
      <c r="NTU102" s="450"/>
      <c r="NTV102" s="450"/>
      <c r="NTW102" s="450"/>
      <c r="NTX102" s="450"/>
      <c r="NTY102" s="450"/>
      <c r="NTZ102" s="450"/>
      <c r="NUA102" s="450"/>
      <c r="NUB102" s="450"/>
      <c r="NUC102" s="450"/>
      <c r="NUD102" s="450"/>
      <c r="NUE102" s="450"/>
      <c r="NUF102" s="450"/>
      <c r="NUG102" s="450"/>
      <c r="NUH102" s="450"/>
      <c r="NUI102" s="450"/>
      <c r="NUJ102" s="450"/>
      <c r="NUK102" s="450"/>
      <c r="NUL102" s="450"/>
      <c r="NUM102" s="450"/>
      <c r="NUN102" s="450"/>
      <c r="NUO102" s="450"/>
      <c r="NUP102" s="450"/>
      <c r="NUQ102" s="450"/>
      <c r="NUR102" s="450"/>
      <c r="NUS102" s="450"/>
      <c r="NUT102" s="450"/>
      <c r="NUU102" s="450"/>
      <c r="NUV102" s="450"/>
      <c r="NUW102" s="450"/>
      <c r="NUX102" s="450"/>
      <c r="NUY102" s="450"/>
      <c r="NUZ102" s="450"/>
      <c r="NVA102" s="450"/>
      <c r="NVB102" s="450"/>
      <c r="NVC102" s="450"/>
      <c r="NVD102" s="450"/>
      <c r="NVE102" s="450"/>
      <c r="NVF102" s="450"/>
      <c r="NVG102" s="450"/>
      <c r="NVH102" s="450"/>
      <c r="NVI102" s="450"/>
      <c r="NVJ102" s="450"/>
      <c r="NVK102" s="450"/>
      <c r="NVL102" s="450"/>
      <c r="NVM102" s="450"/>
      <c r="NVN102" s="450"/>
      <c r="NVO102" s="450"/>
      <c r="NVP102" s="450"/>
      <c r="NVQ102" s="450"/>
      <c r="NVR102" s="450"/>
      <c r="NVS102" s="450"/>
      <c r="NVT102" s="450"/>
      <c r="NVU102" s="450"/>
      <c r="NVV102" s="450"/>
      <c r="NVW102" s="450"/>
      <c r="NVX102" s="450"/>
      <c r="NVY102" s="450"/>
      <c r="NVZ102" s="450"/>
      <c r="NWA102" s="450"/>
      <c r="NWB102" s="450"/>
      <c r="NWC102" s="450"/>
      <c r="NWD102" s="450"/>
      <c r="NWE102" s="450"/>
      <c r="NWF102" s="450"/>
      <c r="NWG102" s="450"/>
      <c r="NWH102" s="450"/>
      <c r="NWI102" s="450"/>
      <c r="NWJ102" s="450"/>
      <c r="NWK102" s="450"/>
      <c r="NWL102" s="450"/>
      <c r="NWM102" s="450"/>
      <c r="NWN102" s="450"/>
      <c r="NWO102" s="450"/>
      <c r="NWP102" s="450"/>
      <c r="NWQ102" s="450"/>
      <c r="NWR102" s="450"/>
      <c r="NWS102" s="450"/>
      <c r="NWT102" s="450"/>
      <c r="NWU102" s="450"/>
      <c r="NWV102" s="450"/>
      <c r="NWW102" s="450"/>
      <c r="NWX102" s="450"/>
      <c r="NWY102" s="450"/>
      <c r="NWZ102" s="450"/>
      <c r="NXA102" s="450"/>
      <c r="NXB102" s="450"/>
      <c r="NXC102" s="450"/>
      <c r="NXD102" s="450"/>
      <c r="NXE102" s="450"/>
      <c r="NXF102" s="450"/>
      <c r="NXG102" s="450"/>
      <c r="NXH102" s="450"/>
      <c r="NXI102" s="450"/>
      <c r="NXJ102" s="450"/>
      <c r="NXK102" s="450"/>
      <c r="NXL102" s="450"/>
      <c r="NXM102" s="450"/>
      <c r="NXN102" s="450"/>
      <c r="NXO102" s="450"/>
      <c r="NXP102" s="450"/>
      <c r="NXQ102" s="450"/>
      <c r="NXR102" s="450"/>
      <c r="NXS102" s="450"/>
      <c r="NXT102" s="450"/>
      <c r="NXU102" s="450"/>
      <c r="NXV102" s="450"/>
      <c r="NXW102" s="450"/>
      <c r="NXX102" s="450"/>
      <c r="NXY102" s="450"/>
      <c r="NXZ102" s="450"/>
      <c r="NYA102" s="450"/>
      <c r="NYB102" s="450"/>
      <c r="NYC102" s="450"/>
      <c r="NYD102" s="450"/>
      <c r="NYE102" s="450"/>
      <c r="NYF102" s="450"/>
      <c r="NYG102" s="450"/>
      <c r="NYH102" s="450"/>
      <c r="NYI102" s="450"/>
      <c r="NYJ102" s="450"/>
      <c r="NYK102" s="450"/>
      <c r="NYL102" s="450"/>
      <c r="NYM102" s="450"/>
      <c r="NYN102" s="450"/>
      <c r="NYO102" s="450"/>
      <c r="NYP102" s="450"/>
      <c r="NYQ102" s="450"/>
      <c r="NYR102" s="450"/>
      <c r="NYS102" s="450"/>
      <c r="NYT102" s="450"/>
      <c r="NYU102" s="450"/>
      <c r="NYV102" s="450"/>
      <c r="NYW102" s="450"/>
      <c r="NYX102" s="450"/>
      <c r="NYY102" s="450"/>
      <c r="NYZ102" s="450"/>
      <c r="NZA102" s="450"/>
      <c r="NZB102" s="450"/>
      <c r="NZC102" s="450"/>
      <c r="NZD102" s="450"/>
      <c r="NZE102" s="450"/>
      <c r="NZF102" s="450"/>
      <c r="NZG102" s="450"/>
      <c r="NZH102" s="450"/>
      <c r="NZI102" s="450"/>
      <c r="NZJ102" s="450"/>
      <c r="NZK102" s="450"/>
      <c r="NZL102" s="450"/>
      <c r="NZM102" s="450"/>
      <c r="NZN102" s="450"/>
      <c r="NZO102" s="450"/>
      <c r="NZP102" s="450"/>
      <c r="NZQ102" s="450"/>
      <c r="NZR102" s="450"/>
      <c r="NZS102" s="450"/>
      <c r="NZT102" s="450"/>
      <c r="NZU102" s="450"/>
      <c r="NZV102" s="450"/>
      <c r="NZW102" s="450"/>
      <c r="NZX102" s="450"/>
      <c r="NZY102" s="450"/>
      <c r="NZZ102" s="450"/>
      <c r="OAA102" s="450"/>
      <c r="OAB102" s="450"/>
      <c r="OAC102" s="450"/>
      <c r="OAD102" s="450"/>
      <c r="OAE102" s="450"/>
      <c r="OAF102" s="450"/>
      <c r="OAG102" s="450"/>
      <c r="OAH102" s="450"/>
      <c r="OAI102" s="450"/>
      <c r="OAJ102" s="450"/>
      <c r="OAK102" s="450"/>
      <c r="OAL102" s="450"/>
      <c r="OAM102" s="450"/>
      <c r="OAN102" s="450"/>
      <c r="OAO102" s="450"/>
      <c r="OAP102" s="450"/>
      <c r="OAQ102" s="450"/>
      <c r="OAR102" s="450"/>
      <c r="OAS102" s="450"/>
      <c r="OAT102" s="450"/>
      <c r="OAU102" s="450"/>
      <c r="OAV102" s="450"/>
      <c r="OAW102" s="450"/>
      <c r="OAX102" s="450"/>
      <c r="OAY102" s="450"/>
      <c r="OAZ102" s="450"/>
      <c r="OBA102" s="450"/>
      <c r="OBB102" s="450"/>
      <c r="OBC102" s="450"/>
      <c r="OBD102" s="450"/>
      <c r="OBE102" s="450"/>
      <c r="OBF102" s="450"/>
      <c r="OBG102" s="450"/>
      <c r="OBH102" s="450"/>
      <c r="OBI102" s="450"/>
      <c r="OBJ102" s="450"/>
      <c r="OBK102" s="450"/>
      <c r="OBL102" s="450"/>
      <c r="OBM102" s="450"/>
      <c r="OBN102" s="450"/>
      <c r="OBO102" s="450"/>
      <c r="OBP102" s="450"/>
      <c r="OBQ102" s="450"/>
      <c r="OBR102" s="450"/>
      <c r="OBS102" s="450"/>
      <c r="OBT102" s="450"/>
      <c r="OBU102" s="450"/>
      <c r="OBV102" s="450"/>
      <c r="OBW102" s="450"/>
      <c r="OBX102" s="450"/>
      <c r="OBY102" s="450"/>
      <c r="OBZ102" s="450"/>
      <c r="OCA102" s="450"/>
      <c r="OCB102" s="450"/>
      <c r="OCC102" s="450"/>
      <c r="OCD102" s="450"/>
      <c r="OCE102" s="450"/>
      <c r="OCF102" s="450"/>
      <c r="OCG102" s="450"/>
      <c r="OCH102" s="450"/>
      <c r="OCI102" s="450"/>
      <c r="OCJ102" s="450"/>
      <c r="OCK102" s="450"/>
      <c r="OCL102" s="450"/>
      <c r="OCM102" s="450"/>
      <c r="OCN102" s="450"/>
      <c r="OCO102" s="450"/>
      <c r="OCP102" s="450"/>
      <c r="OCQ102" s="450"/>
      <c r="OCR102" s="450"/>
      <c r="OCS102" s="450"/>
      <c r="OCT102" s="450"/>
      <c r="OCU102" s="450"/>
      <c r="OCV102" s="450"/>
      <c r="OCW102" s="450"/>
      <c r="OCX102" s="450"/>
      <c r="OCY102" s="450"/>
      <c r="OCZ102" s="450"/>
      <c r="ODA102" s="450"/>
      <c r="ODB102" s="450"/>
      <c r="ODC102" s="450"/>
      <c r="ODD102" s="450"/>
      <c r="ODE102" s="450"/>
      <c r="ODF102" s="450"/>
      <c r="ODG102" s="450"/>
      <c r="ODH102" s="450"/>
      <c r="ODI102" s="450"/>
      <c r="ODJ102" s="450"/>
      <c r="ODK102" s="450"/>
      <c r="ODL102" s="450"/>
      <c r="ODM102" s="450"/>
      <c r="ODN102" s="450"/>
      <c r="ODO102" s="450"/>
      <c r="ODP102" s="450"/>
      <c r="ODQ102" s="450"/>
      <c r="ODR102" s="450"/>
      <c r="ODS102" s="450"/>
      <c r="ODT102" s="450"/>
      <c r="ODU102" s="450"/>
      <c r="ODV102" s="450"/>
      <c r="ODW102" s="450"/>
      <c r="ODX102" s="450"/>
      <c r="ODY102" s="450"/>
      <c r="ODZ102" s="450"/>
      <c r="OEA102" s="450"/>
      <c r="OEB102" s="450"/>
      <c r="OEC102" s="450"/>
      <c r="OED102" s="450"/>
      <c r="OEE102" s="450"/>
      <c r="OEF102" s="450"/>
      <c r="OEG102" s="450"/>
      <c r="OEH102" s="450"/>
      <c r="OEI102" s="450"/>
      <c r="OEJ102" s="450"/>
      <c r="OEK102" s="450"/>
      <c r="OEL102" s="450"/>
      <c r="OEM102" s="450"/>
      <c r="OEN102" s="450"/>
      <c r="OEO102" s="450"/>
      <c r="OEP102" s="450"/>
      <c r="OEQ102" s="450"/>
      <c r="OER102" s="450"/>
      <c r="OES102" s="450"/>
      <c r="OET102" s="450"/>
      <c r="OEU102" s="450"/>
      <c r="OEV102" s="450"/>
      <c r="OEW102" s="450"/>
      <c r="OEX102" s="450"/>
      <c r="OEY102" s="450"/>
      <c r="OEZ102" s="450"/>
      <c r="OFA102" s="450"/>
      <c r="OFB102" s="450"/>
      <c r="OFC102" s="450"/>
      <c r="OFD102" s="450"/>
      <c r="OFE102" s="450"/>
      <c r="OFF102" s="450"/>
      <c r="OFG102" s="450"/>
      <c r="OFH102" s="450"/>
      <c r="OFI102" s="450"/>
      <c r="OFJ102" s="450"/>
      <c r="OFK102" s="450"/>
      <c r="OFL102" s="450"/>
      <c r="OFM102" s="450"/>
      <c r="OFN102" s="450"/>
      <c r="OFO102" s="450"/>
      <c r="OFP102" s="450"/>
      <c r="OFQ102" s="450"/>
      <c r="OFR102" s="450"/>
      <c r="OFS102" s="450"/>
      <c r="OFT102" s="450"/>
      <c r="OFU102" s="450"/>
      <c r="OFV102" s="450"/>
      <c r="OFW102" s="450"/>
      <c r="OFX102" s="450"/>
      <c r="OFY102" s="450"/>
      <c r="OFZ102" s="450"/>
      <c r="OGA102" s="450"/>
      <c r="OGB102" s="450"/>
      <c r="OGC102" s="450"/>
      <c r="OGD102" s="450"/>
      <c r="OGE102" s="450"/>
      <c r="OGF102" s="450"/>
      <c r="OGG102" s="450"/>
      <c r="OGH102" s="450"/>
      <c r="OGI102" s="450"/>
      <c r="OGJ102" s="450"/>
      <c r="OGK102" s="450"/>
      <c r="OGL102" s="450"/>
      <c r="OGM102" s="450"/>
      <c r="OGN102" s="450"/>
      <c r="OGO102" s="450"/>
      <c r="OGP102" s="450"/>
      <c r="OGQ102" s="450"/>
      <c r="OGR102" s="450"/>
      <c r="OGS102" s="450"/>
      <c r="OGT102" s="450"/>
      <c r="OGU102" s="450"/>
      <c r="OGV102" s="450"/>
      <c r="OGW102" s="450"/>
      <c r="OGX102" s="450"/>
      <c r="OGY102" s="450"/>
      <c r="OGZ102" s="450"/>
      <c r="OHA102" s="450"/>
      <c r="OHB102" s="450"/>
      <c r="OHC102" s="450"/>
      <c r="OHD102" s="450"/>
      <c r="OHE102" s="450"/>
      <c r="OHF102" s="450"/>
      <c r="OHG102" s="450"/>
      <c r="OHH102" s="450"/>
      <c r="OHI102" s="450"/>
      <c r="OHJ102" s="450"/>
      <c r="OHK102" s="450"/>
      <c r="OHL102" s="450"/>
      <c r="OHM102" s="450"/>
      <c r="OHN102" s="450"/>
      <c r="OHO102" s="450"/>
      <c r="OHP102" s="450"/>
      <c r="OHQ102" s="450"/>
      <c r="OHR102" s="450"/>
      <c r="OHS102" s="450"/>
      <c r="OHT102" s="450"/>
      <c r="OHU102" s="450"/>
      <c r="OHV102" s="450"/>
      <c r="OHW102" s="450"/>
      <c r="OHX102" s="450"/>
      <c r="OHY102" s="450"/>
      <c r="OHZ102" s="450"/>
      <c r="OIA102" s="450"/>
      <c r="OIB102" s="450"/>
      <c r="OIC102" s="450"/>
      <c r="OID102" s="450"/>
      <c r="OIE102" s="450"/>
      <c r="OIF102" s="450"/>
      <c r="OIG102" s="450"/>
      <c r="OIH102" s="450"/>
      <c r="OII102" s="450"/>
      <c r="OIJ102" s="450"/>
      <c r="OIK102" s="450"/>
      <c r="OIL102" s="450"/>
      <c r="OIM102" s="450"/>
      <c r="OIN102" s="450"/>
      <c r="OIO102" s="450"/>
      <c r="OIP102" s="450"/>
      <c r="OIQ102" s="450"/>
      <c r="OIR102" s="450"/>
      <c r="OIS102" s="450"/>
      <c r="OIT102" s="450"/>
      <c r="OIU102" s="450"/>
      <c r="OIV102" s="450"/>
      <c r="OIW102" s="450"/>
      <c r="OIX102" s="450"/>
      <c r="OIY102" s="450"/>
      <c r="OIZ102" s="450"/>
      <c r="OJA102" s="450"/>
      <c r="OJB102" s="450"/>
      <c r="OJC102" s="450"/>
      <c r="OJD102" s="450"/>
      <c r="OJE102" s="450"/>
      <c r="OJF102" s="450"/>
      <c r="OJG102" s="450"/>
      <c r="OJH102" s="450"/>
      <c r="OJI102" s="450"/>
      <c r="OJJ102" s="450"/>
      <c r="OJK102" s="450"/>
      <c r="OJL102" s="450"/>
      <c r="OJM102" s="450"/>
      <c r="OJN102" s="450"/>
      <c r="OJO102" s="450"/>
      <c r="OJP102" s="450"/>
      <c r="OJQ102" s="450"/>
      <c r="OJR102" s="450"/>
      <c r="OJS102" s="450"/>
      <c r="OJT102" s="450"/>
      <c r="OJU102" s="450"/>
      <c r="OJV102" s="450"/>
      <c r="OJW102" s="450"/>
      <c r="OJX102" s="450"/>
      <c r="OJY102" s="450"/>
      <c r="OJZ102" s="450"/>
      <c r="OKA102" s="450"/>
      <c r="OKB102" s="450"/>
      <c r="OKC102" s="450"/>
      <c r="OKD102" s="450"/>
      <c r="OKE102" s="450"/>
      <c r="OKF102" s="450"/>
      <c r="OKG102" s="450"/>
      <c r="OKH102" s="450"/>
      <c r="OKI102" s="450"/>
      <c r="OKJ102" s="450"/>
      <c r="OKK102" s="450"/>
      <c r="OKL102" s="450"/>
      <c r="OKM102" s="450"/>
      <c r="OKN102" s="450"/>
      <c r="OKO102" s="450"/>
      <c r="OKP102" s="450"/>
      <c r="OKQ102" s="450"/>
      <c r="OKR102" s="450"/>
      <c r="OKS102" s="450"/>
      <c r="OKT102" s="450"/>
      <c r="OKU102" s="450"/>
      <c r="OKV102" s="450"/>
      <c r="OKW102" s="450"/>
      <c r="OKX102" s="450"/>
      <c r="OKY102" s="450"/>
      <c r="OKZ102" s="450"/>
      <c r="OLA102" s="450"/>
      <c r="OLB102" s="450"/>
      <c r="OLC102" s="450"/>
      <c r="OLD102" s="450"/>
      <c r="OLE102" s="450"/>
      <c r="OLF102" s="450"/>
      <c r="OLG102" s="450"/>
      <c r="OLH102" s="450"/>
      <c r="OLI102" s="450"/>
      <c r="OLJ102" s="450"/>
      <c r="OLK102" s="450"/>
      <c r="OLL102" s="450"/>
      <c r="OLM102" s="450"/>
      <c r="OLN102" s="450"/>
      <c r="OLO102" s="450"/>
      <c r="OLP102" s="450"/>
      <c r="OLQ102" s="450"/>
      <c r="OLR102" s="450"/>
      <c r="OLS102" s="450"/>
      <c r="OLT102" s="450"/>
      <c r="OLU102" s="450"/>
      <c r="OLV102" s="450"/>
      <c r="OLW102" s="450"/>
      <c r="OLX102" s="450"/>
      <c r="OLY102" s="450"/>
      <c r="OLZ102" s="450"/>
      <c r="OMA102" s="450"/>
      <c r="OMB102" s="450"/>
      <c r="OMC102" s="450"/>
      <c r="OMD102" s="450"/>
      <c r="OME102" s="450"/>
      <c r="OMF102" s="450"/>
      <c r="OMG102" s="450"/>
      <c r="OMH102" s="450"/>
      <c r="OMI102" s="450"/>
      <c r="OMJ102" s="450"/>
      <c r="OMK102" s="450"/>
      <c r="OML102" s="450"/>
      <c r="OMM102" s="450"/>
      <c r="OMN102" s="450"/>
      <c r="OMO102" s="450"/>
      <c r="OMP102" s="450"/>
      <c r="OMQ102" s="450"/>
      <c r="OMR102" s="450"/>
      <c r="OMS102" s="450"/>
      <c r="OMT102" s="450"/>
      <c r="OMU102" s="450"/>
      <c r="OMV102" s="450"/>
      <c r="OMW102" s="450"/>
      <c r="OMX102" s="450"/>
      <c r="OMY102" s="450"/>
      <c r="OMZ102" s="450"/>
      <c r="ONA102" s="450"/>
      <c r="ONB102" s="450"/>
      <c r="ONC102" s="450"/>
      <c r="OND102" s="450"/>
      <c r="ONE102" s="450"/>
      <c r="ONF102" s="450"/>
      <c r="ONG102" s="450"/>
      <c r="ONH102" s="450"/>
      <c r="ONI102" s="450"/>
      <c r="ONJ102" s="450"/>
      <c r="ONK102" s="450"/>
      <c r="ONL102" s="450"/>
      <c r="ONM102" s="450"/>
      <c r="ONN102" s="450"/>
      <c r="ONO102" s="450"/>
      <c r="ONP102" s="450"/>
      <c r="ONQ102" s="450"/>
      <c r="ONR102" s="450"/>
      <c r="ONS102" s="450"/>
      <c r="ONT102" s="450"/>
      <c r="ONU102" s="450"/>
      <c r="ONV102" s="450"/>
      <c r="ONW102" s="450"/>
      <c r="ONX102" s="450"/>
      <c r="ONY102" s="450"/>
      <c r="ONZ102" s="450"/>
      <c r="OOA102" s="450"/>
      <c r="OOB102" s="450"/>
      <c r="OOC102" s="450"/>
      <c r="OOD102" s="450"/>
      <c r="OOE102" s="450"/>
      <c r="OOF102" s="450"/>
      <c r="OOG102" s="450"/>
      <c r="OOH102" s="450"/>
      <c r="OOI102" s="450"/>
      <c r="OOJ102" s="450"/>
      <c r="OOK102" s="450"/>
      <c r="OOL102" s="450"/>
      <c r="OOM102" s="450"/>
      <c r="OON102" s="450"/>
      <c r="OOO102" s="450"/>
      <c r="OOP102" s="450"/>
      <c r="OOQ102" s="450"/>
      <c r="OOR102" s="450"/>
      <c r="OOS102" s="450"/>
      <c r="OOT102" s="450"/>
      <c r="OOU102" s="450"/>
      <c r="OOV102" s="450"/>
      <c r="OOW102" s="450"/>
      <c r="OOX102" s="450"/>
      <c r="OOY102" s="450"/>
      <c r="OOZ102" s="450"/>
      <c r="OPA102" s="450"/>
      <c r="OPB102" s="450"/>
      <c r="OPC102" s="450"/>
      <c r="OPD102" s="450"/>
      <c r="OPE102" s="450"/>
      <c r="OPF102" s="450"/>
      <c r="OPG102" s="450"/>
      <c r="OPH102" s="450"/>
      <c r="OPI102" s="450"/>
      <c r="OPJ102" s="450"/>
      <c r="OPK102" s="450"/>
      <c r="OPL102" s="450"/>
      <c r="OPM102" s="450"/>
      <c r="OPN102" s="450"/>
      <c r="OPO102" s="450"/>
      <c r="OPP102" s="450"/>
      <c r="OPQ102" s="450"/>
      <c r="OPR102" s="450"/>
      <c r="OPS102" s="450"/>
      <c r="OPT102" s="450"/>
      <c r="OPU102" s="450"/>
      <c r="OPV102" s="450"/>
      <c r="OPW102" s="450"/>
      <c r="OPX102" s="450"/>
      <c r="OPY102" s="450"/>
      <c r="OPZ102" s="450"/>
      <c r="OQA102" s="450"/>
      <c r="OQB102" s="450"/>
      <c r="OQC102" s="450"/>
      <c r="OQD102" s="450"/>
      <c r="OQE102" s="450"/>
      <c r="OQF102" s="450"/>
      <c r="OQG102" s="450"/>
      <c r="OQH102" s="450"/>
      <c r="OQI102" s="450"/>
      <c r="OQJ102" s="450"/>
      <c r="OQK102" s="450"/>
      <c r="OQL102" s="450"/>
      <c r="OQM102" s="450"/>
      <c r="OQN102" s="450"/>
      <c r="OQO102" s="450"/>
      <c r="OQP102" s="450"/>
      <c r="OQQ102" s="450"/>
      <c r="OQR102" s="450"/>
      <c r="OQS102" s="450"/>
      <c r="OQT102" s="450"/>
      <c r="OQU102" s="450"/>
      <c r="OQV102" s="450"/>
      <c r="OQW102" s="450"/>
      <c r="OQX102" s="450"/>
      <c r="OQY102" s="450"/>
      <c r="OQZ102" s="450"/>
      <c r="ORA102" s="450"/>
      <c r="ORB102" s="450"/>
      <c r="ORC102" s="450"/>
      <c r="ORD102" s="450"/>
      <c r="ORE102" s="450"/>
      <c r="ORF102" s="450"/>
      <c r="ORG102" s="450"/>
      <c r="ORH102" s="450"/>
      <c r="ORI102" s="450"/>
      <c r="ORJ102" s="450"/>
      <c r="ORK102" s="450"/>
      <c r="ORL102" s="450"/>
      <c r="ORM102" s="450"/>
      <c r="ORN102" s="450"/>
      <c r="ORO102" s="450"/>
      <c r="ORP102" s="450"/>
      <c r="ORQ102" s="450"/>
      <c r="ORR102" s="450"/>
      <c r="ORS102" s="450"/>
      <c r="ORT102" s="450"/>
      <c r="ORU102" s="450"/>
      <c r="ORV102" s="450"/>
      <c r="ORW102" s="450"/>
      <c r="ORX102" s="450"/>
      <c r="ORY102" s="450"/>
      <c r="ORZ102" s="450"/>
      <c r="OSA102" s="450"/>
      <c r="OSB102" s="450"/>
      <c r="OSC102" s="450"/>
      <c r="OSD102" s="450"/>
      <c r="OSE102" s="450"/>
      <c r="OSF102" s="450"/>
      <c r="OSG102" s="450"/>
      <c r="OSH102" s="450"/>
      <c r="OSI102" s="450"/>
      <c r="OSJ102" s="450"/>
      <c r="OSK102" s="450"/>
      <c r="OSL102" s="450"/>
      <c r="OSM102" s="450"/>
      <c r="OSN102" s="450"/>
      <c r="OSO102" s="450"/>
      <c r="OSP102" s="450"/>
      <c r="OSQ102" s="450"/>
      <c r="OSR102" s="450"/>
      <c r="OSS102" s="450"/>
      <c r="OST102" s="450"/>
      <c r="OSU102" s="450"/>
      <c r="OSV102" s="450"/>
      <c r="OSW102" s="450"/>
      <c r="OSX102" s="450"/>
      <c r="OSY102" s="450"/>
      <c r="OSZ102" s="450"/>
      <c r="OTA102" s="450"/>
      <c r="OTB102" s="450"/>
      <c r="OTC102" s="450"/>
      <c r="OTD102" s="450"/>
      <c r="OTE102" s="450"/>
      <c r="OTF102" s="450"/>
      <c r="OTG102" s="450"/>
      <c r="OTH102" s="450"/>
      <c r="OTI102" s="450"/>
      <c r="OTJ102" s="450"/>
      <c r="OTK102" s="450"/>
      <c r="OTL102" s="450"/>
      <c r="OTM102" s="450"/>
      <c r="OTN102" s="450"/>
      <c r="OTO102" s="450"/>
      <c r="OTP102" s="450"/>
      <c r="OTQ102" s="450"/>
      <c r="OTR102" s="450"/>
      <c r="OTS102" s="450"/>
      <c r="OTT102" s="450"/>
      <c r="OTU102" s="450"/>
      <c r="OTV102" s="450"/>
      <c r="OTW102" s="450"/>
      <c r="OTX102" s="450"/>
      <c r="OTY102" s="450"/>
      <c r="OTZ102" s="450"/>
      <c r="OUA102" s="450"/>
      <c r="OUB102" s="450"/>
      <c r="OUC102" s="450"/>
      <c r="OUD102" s="450"/>
      <c r="OUE102" s="450"/>
      <c r="OUF102" s="450"/>
      <c r="OUG102" s="450"/>
      <c r="OUH102" s="450"/>
      <c r="OUI102" s="450"/>
      <c r="OUJ102" s="450"/>
      <c r="OUK102" s="450"/>
      <c r="OUL102" s="450"/>
      <c r="OUM102" s="450"/>
      <c r="OUN102" s="450"/>
      <c r="OUO102" s="450"/>
      <c r="OUP102" s="450"/>
      <c r="OUQ102" s="450"/>
      <c r="OUR102" s="450"/>
      <c r="OUS102" s="450"/>
      <c r="OUT102" s="450"/>
      <c r="OUU102" s="450"/>
      <c r="OUV102" s="450"/>
      <c r="OUW102" s="450"/>
      <c r="OUX102" s="450"/>
      <c r="OUY102" s="450"/>
      <c r="OUZ102" s="450"/>
      <c r="OVA102" s="450"/>
      <c r="OVB102" s="450"/>
      <c r="OVC102" s="450"/>
      <c r="OVD102" s="450"/>
      <c r="OVE102" s="450"/>
      <c r="OVF102" s="450"/>
      <c r="OVG102" s="450"/>
      <c r="OVH102" s="450"/>
      <c r="OVI102" s="450"/>
      <c r="OVJ102" s="450"/>
      <c r="OVK102" s="450"/>
      <c r="OVL102" s="450"/>
      <c r="OVM102" s="450"/>
      <c r="OVN102" s="450"/>
      <c r="OVO102" s="450"/>
      <c r="OVP102" s="450"/>
      <c r="OVQ102" s="450"/>
      <c r="OVR102" s="450"/>
      <c r="OVS102" s="450"/>
      <c r="OVT102" s="450"/>
      <c r="OVU102" s="450"/>
      <c r="OVV102" s="450"/>
      <c r="OVW102" s="450"/>
      <c r="OVX102" s="450"/>
      <c r="OVY102" s="450"/>
      <c r="OVZ102" s="450"/>
      <c r="OWA102" s="450"/>
      <c r="OWB102" s="450"/>
      <c r="OWC102" s="450"/>
      <c r="OWD102" s="450"/>
      <c r="OWE102" s="450"/>
      <c r="OWF102" s="450"/>
      <c r="OWG102" s="450"/>
      <c r="OWH102" s="450"/>
      <c r="OWI102" s="450"/>
      <c r="OWJ102" s="450"/>
      <c r="OWK102" s="450"/>
      <c r="OWL102" s="450"/>
      <c r="OWM102" s="450"/>
      <c r="OWN102" s="450"/>
      <c r="OWO102" s="450"/>
      <c r="OWP102" s="450"/>
      <c r="OWQ102" s="450"/>
      <c r="OWR102" s="450"/>
      <c r="OWS102" s="450"/>
      <c r="OWT102" s="450"/>
      <c r="OWU102" s="450"/>
      <c r="OWV102" s="450"/>
      <c r="OWW102" s="450"/>
      <c r="OWX102" s="450"/>
      <c r="OWY102" s="450"/>
      <c r="OWZ102" s="450"/>
      <c r="OXA102" s="450"/>
      <c r="OXB102" s="450"/>
      <c r="OXC102" s="450"/>
      <c r="OXD102" s="450"/>
      <c r="OXE102" s="450"/>
      <c r="OXF102" s="450"/>
      <c r="OXG102" s="450"/>
      <c r="OXH102" s="450"/>
      <c r="OXI102" s="450"/>
      <c r="OXJ102" s="450"/>
      <c r="OXK102" s="450"/>
      <c r="OXL102" s="450"/>
      <c r="OXM102" s="450"/>
      <c r="OXN102" s="450"/>
      <c r="OXO102" s="450"/>
      <c r="OXP102" s="450"/>
      <c r="OXQ102" s="450"/>
      <c r="OXR102" s="450"/>
      <c r="OXS102" s="450"/>
      <c r="OXT102" s="450"/>
      <c r="OXU102" s="450"/>
      <c r="OXV102" s="450"/>
      <c r="OXW102" s="450"/>
      <c r="OXX102" s="450"/>
      <c r="OXY102" s="450"/>
      <c r="OXZ102" s="450"/>
      <c r="OYA102" s="450"/>
      <c r="OYB102" s="450"/>
      <c r="OYC102" s="450"/>
      <c r="OYD102" s="450"/>
      <c r="OYE102" s="450"/>
      <c r="OYF102" s="450"/>
      <c r="OYG102" s="450"/>
      <c r="OYH102" s="450"/>
      <c r="OYI102" s="450"/>
      <c r="OYJ102" s="450"/>
      <c r="OYK102" s="450"/>
      <c r="OYL102" s="450"/>
      <c r="OYM102" s="450"/>
      <c r="OYN102" s="450"/>
      <c r="OYO102" s="450"/>
      <c r="OYP102" s="450"/>
      <c r="OYQ102" s="450"/>
      <c r="OYR102" s="450"/>
      <c r="OYS102" s="450"/>
      <c r="OYT102" s="450"/>
      <c r="OYU102" s="450"/>
      <c r="OYV102" s="450"/>
      <c r="OYW102" s="450"/>
      <c r="OYX102" s="450"/>
      <c r="OYY102" s="450"/>
      <c r="OYZ102" s="450"/>
      <c r="OZA102" s="450"/>
      <c r="OZB102" s="450"/>
      <c r="OZC102" s="450"/>
      <c r="OZD102" s="450"/>
      <c r="OZE102" s="450"/>
      <c r="OZF102" s="450"/>
      <c r="OZG102" s="450"/>
      <c r="OZH102" s="450"/>
      <c r="OZI102" s="450"/>
      <c r="OZJ102" s="450"/>
      <c r="OZK102" s="450"/>
      <c r="OZL102" s="450"/>
      <c r="OZM102" s="450"/>
      <c r="OZN102" s="450"/>
      <c r="OZO102" s="450"/>
      <c r="OZP102" s="450"/>
      <c r="OZQ102" s="450"/>
      <c r="OZR102" s="450"/>
      <c r="OZS102" s="450"/>
      <c r="OZT102" s="450"/>
      <c r="OZU102" s="450"/>
      <c r="OZV102" s="450"/>
      <c r="OZW102" s="450"/>
      <c r="OZX102" s="450"/>
      <c r="OZY102" s="450"/>
      <c r="OZZ102" s="450"/>
      <c r="PAA102" s="450"/>
      <c r="PAB102" s="450"/>
      <c r="PAC102" s="450"/>
      <c r="PAD102" s="450"/>
      <c r="PAE102" s="450"/>
      <c r="PAF102" s="450"/>
      <c r="PAG102" s="450"/>
      <c r="PAH102" s="450"/>
      <c r="PAI102" s="450"/>
      <c r="PAJ102" s="450"/>
      <c r="PAK102" s="450"/>
      <c r="PAL102" s="450"/>
      <c r="PAM102" s="450"/>
      <c r="PAN102" s="450"/>
      <c r="PAO102" s="450"/>
      <c r="PAP102" s="450"/>
      <c r="PAQ102" s="450"/>
      <c r="PAR102" s="450"/>
      <c r="PAS102" s="450"/>
      <c r="PAT102" s="450"/>
      <c r="PAU102" s="450"/>
      <c r="PAV102" s="450"/>
      <c r="PAW102" s="450"/>
      <c r="PAX102" s="450"/>
      <c r="PAY102" s="450"/>
      <c r="PAZ102" s="450"/>
      <c r="PBA102" s="450"/>
      <c r="PBB102" s="450"/>
      <c r="PBC102" s="450"/>
      <c r="PBD102" s="450"/>
      <c r="PBE102" s="450"/>
      <c r="PBF102" s="450"/>
      <c r="PBG102" s="450"/>
      <c r="PBH102" s="450"/>
      <c r="PBI102" s="450"/>
      <c r="PBJ102" s="450"/>
      <c r="PBK102" s="450"/>
      <c r="PBL102" s="450"/>
      <c r="PBM102" s="450"/>
      <c r="PBN102" s="450"/>
      <c r="PBO102" s="450"/>
      <c r="PBP102" s="450"/>
      <c r="PBQ102" s="450"/>
      <c r="PBR102" s="450"/>
      <c r="PBS102" s="450"/>
      <c r="PBT102" s="450"/>
      <c r="PBU102" s="450"/>
      <c r="PBV102" s="450"/>
      <c r="PBW102" s="450"/>
      <c r="PBX102" s="450"/>
      <c r="PBY102" s="450"/>
      <c r="PBZ102" s="450"/>
      <c r="PCA102" s="450"/>
      <c r="PCB102" s="450"/>
      <c r="PCC102" s="450"/>
      <c r="PCD102" s="450"/>
      <c r="PCE102" s="450"/>
      <c r="PCF102" s="450"/>
      <c r="PCG102" s="450"/>
      <c r="PCH102" s="450"/>
      <c r="PCI102" s="450"/>
      <c r="PCJ102" s="450"/>
      <c r="PCK102" s="450"/>
      <c r="PCL102" s="450"/>
      <c r="PCM102" s="450"/>
      <c r="PCN102" s="450"/>
      <c r="PCO102" s="450"/>
      <c r="PCP102" s="450"/>
      <c r="PCQ102" s="450"/>
      <c r="PCR102" s="450"/>
      <c r="PCS102" s="450"/>
      <c r="PCT102" s="450"/>
      <c r="PCU102" s="450"/>
      <c r="PCV102" s="450"/>
      <c r="PCW102" s="450"/>
      <c r="PCX102" s="450"/>
      <c r="PCY102" s="450"/>
      <c r="PCZ102" s="450"/>
      <c r="PDA102" s="450"/>
      <c r="PDB102" s="450"/>
      <c r="PDC102" s="450"/>
      <c r="PDD102" s="450"/>
      <c r="PDE102" s="450"/>
      <c r="PDF102" s="450"/>
      <c r="PDG102" s="450"/>
      <c r="PDH102" s="450"/>
      <c r="PDI102" s="450"/>
      <c r="PDJ102" s="450"/>
      <c r="PDK102" s="450"/>
      <c r="PDL102" s="450"/>
      <c r="PDM102" s="450"/>
      <c r="PDN102" s="450"/>
      <c r="PDO102" s="450"/>
      <c r="PDP102" s="450"/>
      <c r="PDQ102" s="450"/>
      <c r="PDR102" s="450"/>
      <c r="PDS102" s="450"/>
      <c r="PDT102" s="450"/>
      <c r="PDU102" s="450"/>
      <c r="PDV102" s="450"/>
      <c r="PDW102" s="450"/>
      <c r="PDX102" s="450"/>
      <c r="PDY102" s="450"/>
      <c r="PDZ102" s="450"/>
      <c r="PEA102" s="450"/>
      <c r="PEB102" s="450"/>
      <c r="PEC102" s="450"/>
      <c r="PED102" s="450"/>
      <c r="PEE102" s="450"/>
      <c r="PEF102" s="450"/>
      <c r="PEG102" s="450"/>
      <c r="PEH102" s="450"/>
      <c r="PEI102" s="450"/>
      <c r="PEJ102" s="450"/>
      <c r="PEK102" s="450"/>
      <c r="PEL102" s="450"/>
      <c r="PEM102" s="450"/>
      <c r="PEN102" s="450"/>
      <c r="PEO102" s="450"/>
      <c r="PEP102" s="450"/>
      <c r="PEQ102" s="450"/>
      <c r="PER102" s="450"/>
      <c r="PES102" s="450"/>
      <c r="PET102" s="450"/>
      <c r="PEU102" s="450"/>
      <c r="PEV102" s="450"/>
      <c r="PEW102" s="450"/>
      <c r="PEX102" s="450"/>
      <c r="PEY102" s="450"/>
      <c r="PEZ102" s="450"/>
      <c r="PFA102" s="450"/>
      <c r="PFB102" s="450"/>
      <c r="PFC102" s="450"/>
      <c r="PFD102" s="450"/>
      <c r="PFE102" s="450"/>
      <c r="PFF102" s="450"/>
      <c r="PFG102" s="450"/>
      <c r="PFH102" s="450"/>
      <c r="PFI102" s="450"/>
      <c r="PFJ102" s="450"/>
      <c r="PFK102" s="450"/>
      <c r="PFL102" s="450"/>
      <c r="PFM102" s="450"/>
      <c r="PFN102" s="450"/>
      <c r="PFO102" s="450"/>
      <c r="PFP102" s="450"/>
      <c r="PFQ102" s="450"/>
      <c r="PFR102" s="450"/>
      <c r="PFS102" s="450"/>
      <c r="PFT102" s="450"/>
      <c r="PFU102" s="450"/>
      <c r="PFV102" s="450"/>
      <c r="PFW102" s="450"/>
      <c r="PFX102" s="450"/>
      <c r="PFY102" s="450"/>
      <c r="PFZ102" s="450"/>
      <c r="PGA102" s="450"/>
      <c r="PGB102" s="450"/>
      <c r="PGC102" s="450"/>
      <c r="PGD102" s="450"/>
      <c r="PGE102" s="450"/>
      <c r="PGF102" s="450"/>
      <c r="PGG102" s="450"/>
      <c r="PGH102" s="450"/>
      <c r="PGI102" s="450"/>
      <c r="PGJ102" s="450"/>
      <c r="PGK102" s="450"/>
      <c r="PGL102" s="450"/>
      <c r="PGM102" s="450"/>
      <c r="PGN102" s="450"/>
      <c r="PGO102" s="450"/>
      <c r="PGP102" s="450"/>
      <c r="PGQ102" s="450"/>
      <c r="PGR102" s="450"/>
      <c r="PGS102" s="450"/>
      <c r="PGT102" s="450"/>
      <c r="PGU102" s="450"/>
      <c r="PGV102" s="450"/>
      <c r="PGW102" s="450"/>
      <c r="PGX102" s="450"/>
      <c r="PGY102" s="450"/>
      <c r="PGZ102" s="450"/>
      <c r="PHA102" s="450"/>
      <c r="PHB102" s="450"/>
      <c r="PHC102" s="450"/>
      <c r="PHD102" s="450"/>
      <c r="PHE102" s="450"/>
      <c r="PHF102" s="450"/>
      <c r="PHG102" s="450"/>
      <c r="PHH102" s="450"/>
      <c r="PHI102" s="450"/>
      <c r="PHJ102" s="450"/>
      <c r="PHK102" s="450"/>
      <c r="PHL102" s="450"/>
      <c r="PHM102" s="450"/>
      <c r="PHN102" s="450"/>
      <c r="PHO102" s="450"/>
      <c r="PHP102" s="450"/>
      <c r="PHQ102" s="450"/>
      <c r="PHR102" s="450"/>
      <c r="PHS102" s="450"/>
      <c r="PHT102" s="450"/>
      <c r="PHU102" s="450"/>
      <c r="PHV102" s="450"/>
      <c r="PHW102" s="450"/>
      <c r="PHX102" s="450"/>
      <c r="PHY102" s="450"/>
      <c r="PHZ102" s="450"/>
      <c r="PIA102" s="450"/>
      <c r="PIB102" s="450"/>
      <c r="PIC102" s="450"/>
      <c r="PID102" s="450"/>
      <c r="PIE102" s="450"/>
      <c r="PIF102" s="450"/>
      <c r="PIG102" s="450"/>
      <c r="PIH102" s="450"/>
      <c r="PII102" s="450"/>
      <c r="PIJ102" s="450"/>
      <c r="PIK102" s="450"/>
      <c r="PIL102" s="450"/>
      <c r="PIM102" s="450"/>
      <c r="PIN102" s="450"/>
      <c r="PIO102" s="450"/>
      <c r="PIP102" s="450"/>
      <c r="PIQ102" s="450"/>
      <c r="PIR102" s="450"/>
      <c r="PIS102" s="450"/>
      <c r="PIT102" s="450"/>
      <c r="PIU102" s="450"/>
      <c r="PIV102" s="450"/>
      <c r="PIW102" s="450"/>
      <c r="PIX102" s="450"/>
      <c r="PIY102" s="450"/>
      <c r="PIZ102" s="450"/>
      <c r="PJA102" s="450"/>
      <c r="PJB102" s="450"/>
      <c r="PJC102" s="450"/>
      <c r="PJD102" s="450"/>
      <c r="PJE102" s="450"/>
      <c r="PJF102" s="450"/>
      <c r="PJG102" s="450"/>
      <c r="PJH102" s="450"/>
      <c r="PJI102" s="450"/>
      <c r="PJJ102" s="450"/>
      <c r="PJK102" s="450"/>
      <c r="PJL102" s="450"/>
      <c r="PJM102" s="450"/>
      <c r="PJN102" s="450"/>
      <c r="PJO102" s="450"/>
      <c r="PJP102" s="450"/>
      <c r="PJQ102" s="450"/>
      <c r="PJR102" s="450"/>
      <c r="PJS102" s="450"/>
      <c r="PJT102" s="450"/>
      <c r="PJU102" s="450"/>
      <c r="PJV102" s="450"/>
      <c r="PJW102" s="450"/>
      <c r="PJX102" s="450"/>
      <c r="PJY102" s="450"/>
      <c r="PJZ102" s="450"/>
      <c r="PKA102" s="450"/>
      <c r="PKB102" s="450"/>
      <c r="PKC102" s="450"/>
      <c r="PKD102" s="450"/>
      <c r="PKE102" s="450"/>
      <c r="PKF102" s="450"/>
      <c r="PKG102" s="450"/>
      <c r="PKH102" s="450"/>
      <c r="PKI102" s="450"/>
      <c r="PKJ102" s="450"/>
      <c r="PKK102" s="450"/>
      <c r="PKL102" s="450"/>
      <c r="PKM102" s="450"/>
      <c r="PKN102" s="450"/>
      <c r="PKO102" s="450"/>
      <c r="PKP102" s="450"/>
      <c r="PKQ102" s="450"/>
      <c r="PKR102" s="450"/>
      <c r="PKS102" s="450"/>
      <c r="PKT102" s="450"/>
      <c r="PKU102" s="450"/>
      <c r="PKV102" s="450"/>
      <c r="PKW102" s="450"/>
      <c r="PKX102" s="450"/>
      <c r="PKY102" s="450"/>
      <c r="PKZ102" s="450"/>
      <c r="PLA102" s="450"/>
      <c r="PLB102" s="450"/>
      <c r="PLC102" s="450"/>
      <c r="PLD102" s="450"/>
      <c r="PLE102" s="450"/>
      <c r="PLF102" s="450"/>
      <c r="PLG102" s="450"/>
      <c r="PLH102" s="450"/>
      <c r="PLI102" s="450"/>
      <c r="PLJ102" s="450"/>
      <c r="PLK102" s="450"/>
      <c r="PLL102" s="450"/>
      <c r="PLM102" s="450"/>
      <c r="PLN102" s="450"/>
      <c r="PLO102" s="450"/>
      <c r="PLP102" s="450"/>
      <c r="PLQ102" s="450"/>
      <c r="PLR102" s="450"/>
      <c r="PLS102" s="450"/>
      <c r="PLT102" s="450"/>
      <c r="PLU102" s="450"/>
      <c r="PLV102" s="450"/>
      <c r="PLW102" s="450"/>
      <c r="PLX102" s="450"/>
      <c r="PLY102" s="450"/>
      <c r="PLZ102" s="450"/>
      <c r="PMA102" s="450"/>
      <c r="PMB102" s="450"/>
      <c r="PMC102" s="450"/>
      <c r="PMD102" s="450"/>
      <c r="PME102" s="450"/>
      <c r="PMF102" s="450"/>
      <c r="PMG102" s="450"/>
      <c r="PMH102" s="450"/>
      <c r="PMI102" s="450"/>
      <c r="PMJ102" s="450"/>
      <c r="PMK102" s="450"/>
      <c r="PML102" s="450"/>
      <c r="PMM102" s="450"/>
      <c r="PMN102" s="450"/>
      <c r="PMO102" s="450"/>
      <c r="PMP102" s="450"/>
      <c r="PMQ102" s="450"/>
      <c r="PMR102" s="450"/>
      <c r="PMS102" s="450"/>
      <c r="PMT102" s="450"/>
      <c r="PMU102" s="450"/>
      <c r="PMV102" s="450"/>
      <c r="PMW102" s="450"/>
      <c r="PMX102" s="450"/>
      <c r="PMY102" s="450"/>
      <c r="PMZ102" s="450"/>
      <c r="PNA102" s="450"/>
      <c r="PNB102" s="450"/>
      <c r="PNC102" s="450"/>
      <c r="PND102" s="450"/>
      <c r="PNE102" s="450"/>
      <c r="PNF102" s="450"/>
      <c r="PNG102" s="450"/>
      <c r="PNH102" s="450"/>
      <c r="PNI102" s="450"/>
      <c r="PNJ102" s="450"/>
      <c r="PNK102" s="450"/>
      <c r="PNL102" s="450"/>
      <c r="PNM102" s="450"/>
      <c r="PNN102" s="450"/>
      <c r="PNO102" s="450"/>
      <c r="PNP102" s="450"/>
      <c r="PNQ102" s="450"/>
      <c r="PNR102" s="450"/>
      <c r="PNS102" s="450"/>
      <c r="PNT102" s="450"/>
      <c r="PNU102" s="450"/>
      <c r="PNV102" s="450"/>
      <c r="PNW102" s="450"/>
      <c r="PNX102" s="450"/>
      <c r="PNY102" s="450"/>
      <c r="PNZ102" s="450"/>
      <c r="POA102" s="450"/>
      <c r="POB102" s="450"/>
      <c r="POC102" s="450"/>
      <c r="POD102" s="450"/>
      <c r="POE102" s="450"/>
      <c r="POF102" s="450"/>
      <c r="POG102" s="450"/>
      <c r="POH102" s="450"/>
      <c r="POI102" s="450"/>
      <c r="POJ102" s="450"/>
      <c r="POK102" s="450"/>
      <c r="POL102" s="450"/>
      <c r="POM102" s="450"/>
      <c r="PON102" s="450"/>
      <c r="POO102" s="450"/>
      <c r="POP102" s="450"/>
      <c r="POQ102" s="450"/>
      <c r="POR102" s="450"/>
      <c r="POS102" s="450"/>
      <c r="POT102" s="450"/>
      <c r="POU102" s="450"/>
      <c r="POV102" s="450"/>
      <c r="POW102" s="450"/>
      <c r="POX102" s="450"/>
      <c r="POY102" s="450"/>
      <c r="POZ102" s="450"/>
      <c r="PPA102" s="450"/>
      <c r="PPB102" s="450"/>
      <c r="PPC102" s="450"/>
      <c r="PPD102" s="450"/>
      <c r="PPE102" s="450"/>
      <c r="PPF102" s="450"/>
      <c r="PPG102" s="450"/>
      <c r="PPH102" s="450"/>
      <c r="PPI102" s="450"/>
      <c r="PPJ102" s="450"/>
      <c r="PPK102" s="450"/>
      <c r="PPL102" s="450"/>
      <c r="PPM102" s="450"/>
      <c r="PPN102" s="450"/>
      <c r="PPO102" s="450"/>
      <c r="PPP102" s="450"/>
      <c r="PPQ102" s="450"/>
      <c r="PPR102" s="450"/>
      <c r="PPS102" s="450"/>
      <c r="PPT102" s="450"/>
      <c r="PPU102" s="450"/>
      <c r="PPV102" s="450"/>
      <c r="PPW102" s="450"/>
      <c r="PPX102" s="450"/>
      <c r="PPY102" s="450"/>
      <c r="PPZ102" s="450"/>
      <c r="PQA102" s="450"/>
      <c r="PQB102" s="450"/>
      <c r="PQC102" s="450"/>
      <c r="PQD102" s="450"/>
      <c r="PQE102" s="450"/>
      <c r="PQF102" s="450"/>
      <c r="PQG102" s="450"/>
      <c r="PQH102" s="450"/>
      <c r="PQI102" s="450"/>
      <c r="PQJ102" s="450"/>
      <c r="PQK102" s="450"/>
      <c r="PQL102" s="450"/>
      <c r="PQM102" s="450"/>
      <c r="PQN102" s="450"/>
      <c r="PQO102" s="450"/>
      <c r="PQP102" s="450"/>
      <c r="PQQ102" s="450"/>
      <c r="PQR102" s="450"/>
      <c r="PQS102" s="450"/>
      <c r="PQT102" s="450"/>
      <c r="PQU102" s="450"/>
      <c r="PQV102" s="450"/>
      <c r="PQW102" s="450"/>
      <c r="PQX102" s="450"/>
      <c r="PQY102" s="450"/>
      <c r="PQZ102" s="450"/>
      <c r="PRA102" s="450"/>
      <c r="PRB102" s="450"/>
      <c r="PRC102" s="450"/>
      <c r="PRD102" s="450"/>
      <c r="PRE102" s="450"/>
      <c r="PRF102" s="450"/>
      <c r="PRG102" s="450"/>
      <c r="PRH102" s="450"/>
      <c r="PRI102" s="450"/>
      <c r="PRJ102" s="450"/>
      <c r="PRK102" s="450"/>
      <c r="PRL102" s="450"/>
      <c r="PRM102" s="450"/>
      <c r="PRN102" s="450"/>
      <c r="PRO102" s="450"/>
      <c r="PRP102" s="450"/>
      <c r="PRQ102" s="450"/>
      <c r="PRR102" s="450"/>
      <c r="PRS102" s="450"/>
      <c r="PRT102" s="450"/>
      <c r="PRU102" s="450"/>
      <c r="PRV102" s="450"/>
      <c r="PRW102" s="450"/>
      <c r="PRX102" s="450"/>
      <c r="PRY102" s="450"/>
      <c r="PRZ102" s="450"/>
      <c r="PSA102" s="450"/>
      <c r="PSB102" s="450"/>
      <c r="PSC102" s="450"/>
      <c r="PSD102" s="450"/>
      <c r="PSE102" s="450"/>
      <c r="PSF102" s="450"/>
      <c r="PSG102" s="450"/>
      <c r="PSH102" s="450"/>
      <c r="PSI102" s="450"/>
      <c r="PSJ102" s="450"/>
      <c r="PSK102" s="450"/>
      <c r="PSL102" s="450"/>
      <c r="PSM102" s="450"/>
      <c r="PSN102" s="450"/>
      <c r="PSO102" s="450"/>
      <c r="PSP102" s="450"/>
      <c r="PSQ102" s="450"/>
      <c r="PSR102" s="450"/>
      <c r="PSS102" s="450"/>
      <c r="PST102" s="450"/>
      <c r="PSU102" s="450"/>
      <c r="PSV102" s="450"/>
      <c r="PSW102" s="450"/>
      <c r="PSX102" s="450"/>
      <c r="PSY102" s="450"/>
      <c r="PSZ102" s="450"/>
      <c r="PTA102" s="450"/>
      <c r="PTB102" s="450"/>
      <c r="PTC102" s="450"/>
      <c r="PTD102" s="450"/>
      <c r="PTE102" s="450"/>
      <c r="PTF102" s="450"/>
      <c r="PTG102" s="450"/>
      <c r="PTH102" s="450"/>
      <c r="PTI102" s="450"/>
      <c r="PTJ102" s="450"/>
      <c r="PTK102" s="450"/>
      <c r="PTL102" s="450"/>
      <c r="PTM102" s="450"/>
      <c r="PTN102" s="450"/>
      <c r="PTO102" s="450"/>
      <c r="PTP102" s="450"/>
      <c r="PTQ102" s="450"/>
      <c r="PTR102" s="450"/>
      <c r="PTS102" s="450"/>
      <c r="PTT102" s="450"/>
      <c r="PTU102" s="450"/>
      <c r="PTV102" s="450"/>
      <c r="PTW102" s="450"/>
      <c r="PTX102" s="450"/>
      <c r="PTY102" s="450"/>
      <c r="PTZ102" s="450"/>
      <c r="PUA102" s="450"/>
      <c r="PUB102" s="450"/>
      <c r="PUC102" s="450"/>
      <c r="PUD102" s="450"/>
      <c r="PUE102" s="450"/>
      <c r="PUF102" s="450"/>
      <c r="PUG102" s="450"/>
      <c r="PUH102" s="450"/>
      <c r="PUI102" s="450"/>
      <c r="PUJ102" s="450"/>
      <c r="PUK102" s="450"/>
      <c r="PUL102" s="450"/>
      <c r="PUM102" s="450"/>
      <c r="PUN102" s="450"/>
      <c r="PUO102" s="450"/>
      <c r="PUP102" s="450"/>
      <c r="PUQ102" s="450"/>
      <c r="PUR102" s="450"/>
      <c r="PUS102" s="450"/>
      <c r="PUT102" s="450"/>
      <c r="PUU102" s="450"/>
      <c r="PUV102" s="450"/>
      <c r="PUW102" s="450"/>
      <c r="PUX102" s="450"/>
      <c r="PUY102" s="450"/>
      <c r="PUZ102" s="450"/>
      <c r="PVA102" s="450"/>
      <c r="PVB102" s="450"/>
      <c r="PVC102" s="450"/>
      <c r="PVD102" s="450"/>
      <c r="PVE102" s="450"/>
      <c r="PVF102" s="450"/>
      <c r="PVG102" s="450"/>
      <c r="PVH102" s="450"/>
      <c r="PVI102" s="450"/>
      <c r="PVJ102" s="450"/>
      <c r="PVK102" s="450"/>
      <c r="PVL102" s="450"/>
      <c r="PVM102" s="450"/>
      <c r="PVN102" s="450"/>
      <c r="PVO102" s="450"/>
      <c r="PVP102" s="450"/>
      <c r="PVQ102" s="450"/>
      <c r="PVR102" s="450"/>
      <c r="PVS102" s="450"/>
      <c r="PVT102" s="450"/>
      <c r="PVU102" s="450"/>
      <c r="PVV102" s="450"/>
      <c r="PVW102" s="450"/>
      <c r="PVX102" s="450"/>
      <c r="PVY102" s="450"/>
      <c r="PVZ102" s="450"/>
      <c r="PWA102" s="450"/>
      <c r="PWB102" s="450"/>
      <c r="PWC102" s="450"/>
      <c r="PWD102" s="450"/>
      <c r="PWE102" s="450"/>
      <c r="PWF102" s="450"/>
      <c r="PWG102" s="450"/>
      <c r="PWH102" s="450"/>
      <c r="PWI102" s="450"/>
      <c r="PWJ102" s="450"/>
      <c r="PWK102" s="450"/>
      <c r="PWL102" s="450"/>
      <c r="PWM102" s="450"/>
      <c r="PWN102" s="450"/>
      <c r="PWO102" s="450"/>
      <c r="PWP102" s="450"/>
      <c r="PWQ102" s="450"/>
      <c r="PWR102" s="450"/>
      <c r="PWS102" s="450"/>
      <c r="PWT102" s="450"/>
      <c r="PWU102" s="450"/>
      <c r="PWV102" s="450"/>
      <c r="PWW102" s="450"/>
      <c r="PWX102" s="450"/>
      <c r="PWY102" s="450"/>
      <c r="PWZ102" s="450"/>
      <c r="PXA102" s="450"/>
      <c r="PXB102" s="450"/>
      <c r="PXC102" s="450"/>
      <c r="PXD102" s="450"/>
      <c r="PXE102" s="450"/>
      <c r="PXF102" s="450"/>
      <c r="PXG102" s="450"/>
      <c r="PXH102" s="450"/>
      <c r="PXI102" s="450"/>
      <c r="PXJ102" s="450"/>
      <c r="PXK102" s="450"/>
      <c r="PXL102" s="450"/>
      <c r="PXM102" s="450"/>
      <c r="PXN102" s="450"/>
      <c r="PXO102" s="450"/>
      <c r="PXP102" s="450"/>
      <c r="PXQ102" s="450"/>
      <c r="PXR102" s="450"/>
      <c r="PXS102" s="450"/>
      <c r="PXT102" s="450"/>
      <c r="PXU102" s="450"/>
      <c r="PXV102" s="450"/>
      <c r="PXW102" s="450"/>
      <c r="PXX102" s="450"/>
      <c r="PXY102" s="450"/>
      <c r="PXZ102" s="450"/>
      <c r="PYA102" s="450"/>
      <c r="PYB102" s="450"/>
      <c r="PYC102" s="450"/>
      <c r="PYD102" s="450"/>
      <c r="PYE102" s="450"/>
      <c r="PYF102" s="450"/>
      <c r="PYG102" s="450"/>
      <c r="PYH102" s="450"/>
      <c r="PYI102" s="450"/>
      <c r="PYJ102" s="450"/>
      <c r="PYK102" s="450"/>
      <c r="PYL102" s="450"/>
      <c r="PYM102" s="450"/>
      <c r="PYN102" s="450"/>
      <c r="PYO102" s="450"/>
      <c r="PYP102" s="450"/>
      <c r="PYQ102" s="450"/>
      <c r="PYR102" s="450"/>
      <c r="PYS102" s="450"/>
      <c r="PYT102" s="450"/>
      <c r="PYU102" s="450"/>
      <c r="PYV102" s="450"/>
      <c r="PYW102" s="450"/>
      <c r="PYX102" s="450"/>
      <c r="PYY102" s="450"/>
      <c r="PYZ102" s="450"/>
      <c r="PZA102" s="450"/>
      <c r="PZB102" s="450"/>
      <c r="PZC102" s="450"/>
      <c r="PZD102" s="450"/>
      <c r="PZE102" s="450"/>
      <c r="PZF102" s="450"/>
      <c r="PZG102" s="450"/>
      <c r="PZH102" s="450"/>
      <c r="PZI102" s="450"/>
      <c r="PZJ102" s="450"/>
      <c r="PZK102" s="450"/>
      <c r="PZL102" s="450"/>
      <c r="PZM102" s="450"/>
      <c r="PZN102" s="450"/>
      <c r="PZO102" s="450"/>
      <c r="PZP102" s="450"/>
      <c r="PZQ102" s="450"/>
      <c r="PZR102" s="450"/>
      <c r="PZS102" s="450"/>
      <c r="PZT102" s="450"/>
      <c r="PZU102" s="450"/>
      <c r="PZV102" s="450"/>
      <c r="PZW102" s="450"/>
      <c r="PZX102" s="450"/>
      <c r="PZY102" s="450"/>
      <c r="PZZ102" s="450"/>
      <c r="QAA102" s="450"/>
      <c r="QAB102" s="450"/>
      <c r="QAC102" s="450"/>
      <c r="QAD102" s="450"/>
      <c r="QAE102" s="450"/>
      <c r="QAF102" s="450"/>
      <c r="QAG102" s="450"/>
      <c r="QAH102" s="450"/>
      <c r="QAI102" s="450"/>
      <c r="QAJ102" s="450"/>
      <c r="QAK102" s="450"/>
      <c r="QAL102" s="450"/>
      <c r="QAM102" s="450"/>
      <c r="QAN102" s="450"/>
      <c r="QAO102" s="450"/>
      <c r="QAP102" s="450"/>
      <c r="QAQ102" s="450"/>
      <c r="QAR102" s="450"/>
      <c r="QAS102" s="450"/>
      <c r="QAT102" s="450"/>
      <c r="QAU102" s="450"/>
      <c r="QAV102" s="450"/>
      <c r="QAW102" s="450"/>
      <c r="QAX102" s="450"/>
      <c r="QAY102" s="450"/>
      <c r="QAZ102" s="450"/>
      <c r="QBA102" s="450"/>
      <c r="QBB102" s="450"/>
      <c r="QBC102" s="450"/>
      <c r="QBD102" s="450"/>
      <c r="QBE102" s="450"/>
      <c r="QBF102" s="450"/>
      <c r="QBG102" s="450"/>
      <c r="QBH102" s="450"/>
      <c r="QBI102" s="450"/>
      <c r="QBJ102" s="450"/>
      <c r="QBK102" s="450"/>
      <c r="QBL102" s="450"/>
      <c r="QBM102" s="450"/>
      <c r="QBN102" s="450"/>
      <c r="QBO102" s="450"/>
      <c r="QBP102" s="450"/>
      <c r="QBQ102" s="450"/>
      <c r="QBR102" s="450"/>
      <c r="QBS102" s="450"/>
      <c r="QBT102" s="450"/>
      <c r="QBU102" s="450"/>
      <c r="QBV102" s="450"/>
      <c r="QBW102" s="450"/>
      <c r="QBX102" s="450"/>
      <c r="QBY102" s="450"/>
      <c r="QBZ102" s="450"/>
      <c r="QCA102" s="450"/>
      <c r="QCB102" s="450"/>
      <c r="QCC102" s="450"/>
      <c r="QCD102" s="450"/>
      <c r="QCE102" s="450"/>
      <c r="QCF102" s="450"/>
      <c r="QCG102" s="450"/>
      <c r="QCH102" s="450"/>
      <c r="QCI102" s="450"/>
      <c r="QCJ102" s="450"/>
      <c r="QCK102" s="450"/>
      <c r="QCL102" s="450"/>
      <c r="QCM102" s="450"/>
      <c r="QCN102" s="450"/>
      <c r="QCO102" s="450"/>
      <c r="QCP102" s="450"/>
      <c r="QCQ102" s="450"/>
      <c r="QCR102" s="450"/>
      <c r="QCS102" s="450"/>
      <c r="QCT102" s="450"/>
      <c r="QCU102" s="450"/>
      <c r="QCV102" s="450"/>
      <c r="QCW102" s="450"/>
      <c r="QCX102" s="450"/>
      <c r="QCY102" s="450"/>
      <c r="QCZ102" s="450"/>
      <c r="QDA102" s="450"/>
      <c r="QDB102" s="450"/>
      <c r="QDC102" s="450"/>
      <c r="QDD102" s="450"/>
      <c r="QDE102" s="450"/>
      <c r="QDF102" s="450"/>
      <c r="QDG102" s="450"/>
      <c r="QDH102" s="450"/>
      <c r="QDI102" s="450"/>
      <c r="QDJ102" s="450"/>
      <c r="QDK102" s="450"/>
      <c r="QDL102" s="450"/>
      <c r="QDM102" s="450"/>
      <c r="QDN102" s="450"/>
      <c r="QDO102" s="450"/>
      <c r="QDP102" s="450"/>
      <c r="QDQ102" s="450"/>
      <c r="QDR102" s="450"/>
      <c r="QDS102" s="450"/>
      <c r="QDT102" s="450"/>
      <c r="QDU102" s="450"/>
      <c r="QDV102" s="450"/>
      <c r="QDW102" s="450"/>
      <c r="QDX102" s="450"/>
      <c r="QDY102" s="450"/>
      <c r="QDZ102" s="450"/>
      <c r="QEA102" s="450"/>
      <c r="QEB102" s="450"/>
      <c r="QEC102" s="450"/>
      <c r="QED102" s="450"/>
      <c r="QEE102" s="450"/>
      <c r="QEF102" s="450"/>
      <c r="QEG102" s="450"/>
      <c r="QEH102" s="450"/>
      <c r="QEI102" s="450"/>
      <c r="QEJ102" s="450"/>
      <c r="QEK102" s="450"/>
      <c r="QEL102" s="450"/>
      <c r="QEM102" s="450"/>
      <c r="QEN102" s="450"/>
      <c r="QEO102" s="450"/>
      <c r="QEP102" s="450"/>
      <c r="QEQ102" s="450"/>
      <c r="QER102" s="450"/>
      <c r="QES102" s="450"/>
      <c r="QET102" s="450"/>
      <c r="QEU102" s="450"/>
      <c r="QEV102" s="450"/>
      <c r="QEW102" s="450"/>
      <c r="QEX102" s="450"/>
      <c r="QEY102" s="450"/>
      <c r="QEZ102" s="450"/>
      <c r="QFA102" s="450"/>
      <c r="QFB102" s="450"/>
      <c r="QFC102" s="450"/>
      <c r="QFD102" s="450"/>
      <c r="QFE102" s="450"/>
      <c r="QFF102" s="450"/>
      <c r="QFG102" s="450"/>
      <c r="QFH102" s="450"/>
      <c r="QFI102" s="450"/>
      <c r="QFJ102" s="450"/>
      <c r="QFK102" s="450"/>
      <c r="QFL102" s="450"/>
      <c r="QFM102" s="450"/>
      <c r="QFN102" s="450"/>
      <c r="QFO102" s="450"/>
      <c r="QFP102" s="450"/>
      <c r="QFQ102" s="450"/>
      <c r="QFR102" s="450"/>
      <c r="QFS102" s="450"/>
      <c r="QFT102" s="450"/>
      <c r="QFU102" s="450"/>
      <c r="QFV102" s="450"/>
      <c r="QFW102" s="450"/>
      <c r="QFX102" s="450"/>
      <c r="QFY102" s="450"/>
      <c r="QFZ102" s="450"/>
      <c r="QGA102" s="450"/>
      <c r="QGB102" s="450"/>
      <c r="QGC102" s="450"/>
      <c r="QGD102" s="450"/>
      <c r="QGE102" s="450"/>
      <c r="QGF102" s="450"/>
      <c r="QGG102" s="450"/>
      <c r="QGH102" s="450"/>
      <c r="QGI102" s="450"/>
      <c r="QGJ102" s="450"/>
      <c r="QGK102" s="450"/>
      <c r="QGL102" s="450"/>
      <c r="QGM102" s="450"/>
      <c r="QGN102" s="450"/>
      <c r="QGO102" s="450"/>
      <c r="QGP102" s="450"/>
      <c r="QGQ102" s="450"/>
      <c r="QGR102" s="450"/>
      <c r="QGS102" s="450"/>
      <c r="QGT102" s="450"/>
      <c r="QGU102" s="450"/>
      <c r="QGV102" s="450"/>
      <c r="QGW102" s="450"/>
      <c r="QGX102" s="450"/>
      <c r="QGY102" s="450"/>
      <c r="QGZ102" s="450"/>
      <c r="QHA102" s="450"/>
      <c r="QHB102" s="450"/>
      <c r="QHC102" s="450"/>
      <c r="QHD102" s="450"/>
      <c r="QHE102" s="450"/>
      <c r="QHF102" s="450"/>
      <c r="QHG102" s="450"/>
      <c r="QHH102" s="450"/>
      <c r="QHI102" s="450"/>
      <c r="QHJ102" s="450"/>
      <c r="QHK102" s="450"/>
      <c r="QHL102" s="450"/>
      <c r="QHM102" s="450"/>
      <c r="QHN102" s="450"/>
      <c r="QHO102" s="450"/>
      <c r="QHP102" s="450"/>
      <c r="QHQ102" s="450"/>
      <c r="QHR102" s="450"/>
      <c r="QHS102" s="450"/>
      <c r="QHT102" s="450"/>
      <c r="QHU102" s="450"/>
      <c r="QHV102" s="450"/>
      <c r="QHW102" s="450"/>
      <c r="QHX102" s="450"/>
      <c r="QHY102" s="450"/>
      <c r="QHZ102" s="450"/>
      <c r="QIA102" s="450"/>
      <c r="QIB102" s="450"/>
      <c r="QIC102" s="450"/>
      <c r="QID102" s="450"/>
      <c r="QIE102" s="450"/>
      <c r="QIF102" s="450"/>
      <c r="QIG102" s="450"/>
      <c r="QIH102" s="450"/>
      <c r="QII102" s="450"/>
      <c r="QIJ102" s="450"/>
      <c r="QIK102" s="450"/>
      <c r="QIL102" s="450"/>
      <c r="QIM102" s="450"/>
      <c r="QIN102" s="450"/>
      <c r="QIO102" s="450"/>
      <c r="QIP102" s="450"/>
      <c r="QIQ102" s="450"/>
      <c r="QIR102" s="450"/>
      <c r="QIS102" s="450"/>
      <c r="QIT102" s="450"/>
      <c r="QIU102" s="450"/>
      <c r="QIV102" s="450"/>
      <c r="QIW102" s="450"/>
      <c r="QIX102" s="450"/>
      <c r="QIY102" s="450"/>
      <c r="QIZ102" s="450"/>
      <c r="QJA102" s="450"/>
      <c r="QJB102" s="450"/>
      <c r="QJC102" s="450"/>
      <c r="QJD102" s="450"/>
      <c r="QJE102" s="450"/>
      <c r="QJF102" s="450"/>
      <c r="QJG102" s="450"/>
      <c r="QJH102" s="450"/>
      <c r="QJI102" s="450"/>
      <c r="QJJ102" s="450"/>
      <c r="QJK102" s="450"/>
      <c r="QJL102" s="450"/>
      <c r="QJM102" s="450"/>
      <c r="QJN102" s="450"/>
      <c r="QJO102" s="450"/>
      <c r="QJP102" s="450"/>
      <c r="QJQ102" s="450"/>
      <c r="QJR102" s="450"/>
      <c r="QJS102" s="450"/>
      <c r="QJT102" s="450"/>
      <c r="QJU102" s="450"/>
      <c r="QJV102" s="450"/>
      <c r="QJW102" s="450"/>
      <c r="QJX102" s="450"/>
      <c r="QJY102" s="450"/>
      <c r="QJZ102" s="450"/>
      <c r="QKA102" s="450"/>
      <c r="QKB102" s="450"/>
      <c r="QKC102" s="450"/>
      <c r="QKD102" s="450"/>
      <c r="QKE102" s="450"/>
      <c r="QKF102" s="450"/>
      <c r="QKG102" s="450"/>
      <c r="QKH102" s="450"/>
      <c r="QKI102" s="450"/>
      <c r="QKJ102" s="450"/>
      <c r="QKK102" s="450"/>
      <c r="QKL102" s="450"/>
      <c r="QKM102" s="450"/>
      <c r="QKN102" s="450"/>
      <c r="QKO102" s="450"/>
      <c r="QKP102" s="450"/>
      <c r="QKQ102" s="450"/>
      <c r="QKR102" s="450"/>
      <c r="QKS102" s="450"/>
      <c r="QKT102" s="450"/>
      <c r="QKU102" s="450"/>
      <c r="QKV102" s="450"/>
      <c r="QKW102" s="450"/>
      <c r="QKX102" s="450"/>
      <c r="QKY102" s="450"/>
      <c r="QKZ102" s="450"/>
      <c r="QLA102" s="450"/>
      <c r="QLB102" s="450"/>
      <c r="QLC102" s="450"/>
      <c r="QLD102" s="450"/>
      <c r="QLE102" s="450"/>
      <c r="QLF102" s="450"/>
      <c r="QLG102" s="450"/>
      <c r="QLH102" s="450"/>
      <c r="QLI102" s="450"/>
      <c r="QLJ102" s="450"/>
      <c r="QLK102" s="450"/>
      <c r="QLL102" s="450"/>
      <c r="QLM102" s="450"/>
      <c r="QLN102" s="450"/>
      <c r="QLO102" s="450"/>
      <c r="QLP102" s="450"/>
      <c r="QLQ102" s="450"/>
      <c r="QLR102" s="450"/>
      <c r="QLS102" s="450"/>
      <c r="QLT102" s="450"/>
      <c r="QLU102" s="450"/>
      <c r="QLV102" s="450"/>
      <c r="QLW102" s="450"/>
      <c r="QLX102" s="450"/>
      <c r="QLY102" s="450"/>
      <c r="QLZ102" s="450"/>
      <c r="QMA102" s="450"/>
      <c r="QMB102" s="450"/>
      <c r="QMC102" s="450"/>
      <c r="QMD102" s="450"/>
      <c r="QME102" s="450"/>
      <c r="QMF102" s="450"/>
      <c r="QMG102" s="450"/>
      <c r="QMH102" s="450"/>
      <c r="QMI102" s="450"/>
      <c r="QMJ102" s="450"/>
      <c r="QMK102" s="450"/>
      <c r="QML102" s="450"/>
      <c r="QMM102" s="450"/>
      <c r="QMN102" s="450"/>
      <c r="QMO102" s="450"/>
      <c r="QMP102" s="450"/>
      <c r="QMQ102" s="450"/>
      <c r="QMR102" s="450"/>
      <c r="QMS102" s="450"/>
      <c r="QMT102" s="450"/>
      <c r="QMU102" s="450"/>
      <c r="QMV102" s="450"/>
      <c r="QMW102" s="450"/>
      <c r="QMX102" s="450"/>
      <c r="QMY102" s="450"/>
      <c r="QMZ102" s="450"/>
      <c r="QNA102" s="450"/>
      <c r="QNB102" s="450"/>
      <c r="QNC102" s="450"/>
      <c r="QND102" s="450"/>
      <c r="QNE102" s="450"/>
      <c r="QNF102" s="450"/>
      <c r="QNG102" s="450"/>
      <c r="QNH102" s="450"/>
      <c r="QNI102" s="450"/>
      <c r="QNJ102" s="450"/>
      <c r="QNK102" s="450"/>
      <c r="QNL102" s="450"/>
      <c r="QNM102" s="450"/>
      <c r="QNN102" s="450"/>
      <c r="QNO102" s="450"/>
      <c r="QNP102" s="450"/>
      <c r="QNQ102" s="450"/>
      <c r="QNR102" s="450"/>
      <c r="QNS102" s="450"/>
      <c r="QNT102" s="450"/>
      <c r="QNU102" s="450"/>
      <c r="QNV102" s="450"/>
      <c r="QNW102" s="450"/>
      <c r="QNX102" s="450"/>
      <c r="QNY102" s="450"/>
      <c r="QNZ102" s="450"/>
      <c r="QOA102" s="450"/>
      <c r="QOB102" s="450"/>
      <c r="QOC102" s="450"/>
      <c r="QOD102" s="450"/>
      <c r="QOE102" s="450"/>
      <c r="QOF102" s="450"/>
      <c r="QOG102" s="450"/>
      <c r="QOH102" s="450"/>
      <c r="QOI102" s="450"/>
      <c r="QOJ102" s="450"/>
      <c r="QOK102" s="450"/>
      <c r="QOL102" s="450"/>
      <c r="QOM102" s="450"/>
      <c r="QON102" s="450"/>
      <c r="QOO102" s="450"/>
      <c r="QOP102" s="450"/>
      <c r="QOQ102" s="450"/>
      <c r="QOR102" s="450"/>
      <c r="QOS102" s="450"/>
      <c r="QOT102" s="450"/>
      <c r="QOU102" s="450"/>
      <c r="QOV102" s="450"/>
      <c r="QOW102" s="450"/>
      <c r="QOX102" s="450"/>
      <c r="QOY102" s="450"/>
      <c r="QOZ102" s="450"/>
      <c r="QPA102" s="450"/>
      <c r="QPB102" s="450"/>
      <c r="QPC102" s="450"/>
      <c r="QPD102" s="450"/>
      <c r="QPE102" s="450"/>
      <c r="QPF102" s="450"/>
      <c r="QPG102" s="450"/>
      <c r="QPH102" s="450"/>
      <c r="QPI102" s="450"/>
      <c r="QPJ102" s="450"/>
      <c r="QPK102" s="450"/>
      <c r="QPL102" s="450"/>
      <c r="QPM102" s="450"/>
      <c r="QPN102" s="450"/>
      <c r="QPO102" s="450"/>
      <c r="QPP102" s="450"/>
      <c r="QPQ102" s="450"/>
      <c r="QPR102" s="450"/>
      <c r="QPS102" s="450"/>
      <c r="QPT102" s="450"/>
      <c r="QPU102" s="450"/>
      <c r="QPV102" s="450"/>
      <c r="QPW102" s="450"/>
      <c r="QPX102" s="450"/>
      <c r="QPY102" s="450"/>
      <c r="QPZ102" s="450"/>
      <c r="QQA102" s="450"/>
      <c r="QQB102" s="450"/>
      <c r="QQC102" s="450"/>
      <c r="QQD102" s="450"/>
      <c r="QQE102" s="450"/>
      <c r="QQF102" s="450"/>
      <c r="QQG102" s="450"/>
      <c r="QQH102" s="450"/>
      <c r="QQI102" s="450"/>
      <c r="QQJ102" s="450"/>
      <c r="QQK102" s="450"/>
      <c r="QQL102" s="450"/>
      <c r="QQM102" s="450"/>
      <c r="QQN102" s="450"/>
      <c r="QQO102" s="450"/>
      <c r="QQP102" s="450"/>
      <c r="QQQ102" s="450"/>
      <c r="QQR102" s="450"/>
      <c r="QQS102" s="450"/>
      <c r="QQT102" s="450"/>
      <c r="QQU102" s="450"/>
      <c r="QQV102" s="450"/>
      <c r="QQW102" s="450"/>
      <c r="QQX102" s="450"/>
      <c r="QQY102" s="450"/>
      <c r="QQZ102" s="450"/>
      <c r="QRA102" s="450"/>
      <c r="QRB102" s="450"/>
      <c r="QRC102" s="450"/>
      <c r="QRD102" s="450"/>
      <c r="QRE102" s="450"/>
      <c r="QRF102" s="450"/>
      <c r="QRG102" s="450"/>
      <c r="QRH102" s="450"/>
      <c r="QRI102" s="450"/>
      <c r="QRJ102" s="450"/>
      <c r="QRK102" s="450"/>
      <c r="QRL102" s="450"/>
      <c r="QRM102" s="450"/>
      <c r="QRN102" s="450"/>
      <c r="QRO102" s="450"/>
      <c r="QRP102" s="450"/>
      <c r="QRQ102" s="450"/>
      <c r="QRR102" s="450"/>
      <c r="QRS102" s="450"/>
      <c r="QRT102" s="450"/>
      <c r="QRU102" s="450"/>
      <c r="QRV102" s="450"/>
      <c r="QRW102" s="450"/>
      <c r="QRX102" s="450"/>
      <c r="QRY102" s="450"/>
      <c r="QRZ102" s="450"/>
      <c r="QSA102" s="450"/>
      <c r="QSB102" s="450"/>
      <c r="QSC102" s="450"/>
      <c r="QSD102" s="450"/>
      <c r="QSE102" s="450"/>
      <c r="QSF102" s="450"/>
      <c r="QSG102" s="450"/>
      <c r="QSH102" s="450"/>
      <c r="QSI102" s="450"/>
      <c r="QSJ102" s="450"/>
      <c r="QSK102" s="450"/>
      <c r="QSL102" s="450"/>
      <c r="QSM102" s="450"/>
      <c r="QSN102" s="450"/>
      <c r="QSO102" s="450"/>
      <c r="QSP102" s="450"/>
      <c r="QSQ102" s="450"/>
      <c r="QSR102" s="450"/>
      <c r="QSS102" s="450"/>
      <c r="QST102" s="450"/>
      <c r="QSU102" s="450"/>
      <c r="QSV102" s="450"/>
      <c r="QSW102" s="450"/>
      <c r="QSX102" s="450"/>
      <c r="QSY102" s="450"/>
      <c r="QSZ102" s="450"/>
      <c r="QTA102" s="450"/>
      <c r="QTB102" s="450"/>
      <c r="QTC102" s="450"/>
      <c r="QTD102" s="450"/>
      <c r="QTE102" s="450"/>
      <c r="QTF102" s="450"/>
      <c r="QTG102" s="450"/>
      <c r="QTH102" s="450"/>
      <c r="QTI102" s="450"/>
      <c r="QTJ102" s="450"/>
      <c r="QTK102" s="450"/>
      <c r="QTL102" s="450"/>
      <c r="QTM102" s="450"/>
      <c r="QTN102" s="450"/>
      <c r="QTO102" s="450"/>
      <c r="QTP102" s="450"/>
      <c r="QTQ102" s="450"/>
      <c r="QTR102" s="450"/>
      <c r="QTS102" s="450"/>
      <c r="QTT102" s="450"/>
      <c r="QTU102" s="450"/>
      <c r="QTV102" s="450"/>
      <c r="QTW102" s="450"/>
      <c r="QTX102" s="450"/>
      <c r="QTY102" s="450"/>
      <c r="QTZ102" s="450"/>
      <c r="QUA102" s="450"/>
      <c r="QUB102" s="450"/>
      <c r="QUC102" s="450"/>
      <c r="QUD102" s="450"/>
      <c r="QUE102" s="450"/>
      <c r="QUF102" s="450"/>
      <c r="QUG102" s="450"/>
      <c r="QUH102" s="450"/>
      <c r="QUI102" s="450"/>
      <c r="QUJ102" s="450"/>
      <c r="QUK102" s="450"/>
      <c r="QUL102" s="450"/>
      <c r="QUM102" s="450"/>
      <c r="QUN102" s="450"/>
      <c r="QUO102" s="450"/>
      <c r="QUP102" s="450"/>
      <c r="QUQ102" s="450"/>
      <c r="QUR102" s="450"/>
      <c r="QUS102" s="450"/>
      <c r="QUT102" s="450"/>
      <c r="QUU102" s="450"/>
      <c r="QUV102" s="450"/>
      <c r="QUW102" s="450"/>
      <c r="QUX102" s="450"/>
      <c r="QUY102" s="450"/>
      <c r="QUZ102" s="450"/>
      <c r="QVA102" s="450"/>
      <c r="QVB102" s="450"/>
      <c r="QVC102" s="450"/>
      <c r="QVD102" s="450"/>
      <c r="QVE102" s="450"/>
      <c r="QVF102" s="450"/>
      <c r="QVG102" s="450"/>
      <c r="QVH102" s="450"/>
      <c r="QVI102" s="450"/>
      <c r="QVJ102" s="450"/>
      <c r="QVK102" s="450"/>
      <c r="QVL102" s="450"/>
      <c r="QVM102" s="450"/>
      <c r="QVN102" s="450"/>
      <c r="QVO102" s="450"/>
      <c r="QVP102" s="450"/>
      <c r="QVQ102" s="450"/>
      <c r="QVR102" s="450"/>
      <c r="QVS102" s="450"/>
      <c r="QVT102" s="450"/>
      <c r="QVU102" s="450"/>
      <c r="QVV102" s="450"/>
      <c r="QVW102" s="450"/>
      <c r="QVX102" s="450"/>
      <c r="QVY102" s="450"/>
      <c r="QVZ102" s="450"/>
      <c r="QWA102" s="450"/>
      <c r="QWB102" s="450"/>
      <c r="QWC102" s="450"/>
      <c r="QWD102" s="450"/>
      <c r="QWE102" s="450"/>
      <c r="QWF102" s="450"/>
      <c r="QWG102" s="450"/>
      <c r="QWH102" s="450"/>
      <c r="QWI102" s="450"/>
      <c r="QWJ102" s="450"/>
      <c r="QWK102" s="450"/>
      <c r="QWL102" s="450"/>
      <c r="QWM102" s="450"/>
      <c r="QWN102" s="450"/>
      <c r="QWO102" s="450"/>
      <c r="QWP102" s="450"/>
      <c r="QWQ102" s="450"/>
      <c r="QWR102" s="450"/>
      <c r="QWS102" s="450"/>
      <c r="QWT102" s="450"/>
      <c r="QWU102" s="450"/>
      <c r="QWV102" s="450"/>
      <c r="QWW102" s="450"/>
      <c r="QWX102" s="450"/>
      <c r="QWY102" s="450"/>
      <c r="QWZ102" s="450"/>
      <c r="QXA102" s="450"/>
      <c r="QXB102" s="450"/>
      <c r="QXC102" s="450"/>
      <c r="QXD102" s="450"/>
      <c r="QXE102" s="450"/>
      <c r="QXF102" s="450"/>
      <c r="QXG102" s="450"/>
      <c r="QXH102" s="450"/>
      <c r="QXI102" s="450"/>
      <c r="QXJ102" s="450"/>
      <c r="QXK102" s="450"/>
      <c r="QXL102" s="450"/>
      <c r="QXM102" s="450"/>
      <c r="QXN102" s="450"/>
      <c r="QXO102" s="450"/>
      <c r="QXP102" s="450"/>
      <c r="QXQ102" s="450"/>
      <c r="QXR102" s="450"/>
      <c r="QXS102" s="450"/>
      <c r="QXT102" s="450"/>
      <c r="QXU102" s="450"/>
      <c r="QXV102" s="450"/>
      <c r="QXW102" s="450"/>
      <c r="QXX102" s="450"/>
      <c r="QXY102" s="450"/>
      <c r="QXZ102" s="450"/>
      <c r="QYA102" s="450"/>
      <c r="QYB102" s="450"/>
      <c r="QYC102" s="450"/>
      <c r="QYD102" s="450"/>
      <c r="QYE102" s="450"/>
      <c r="QYF102" s="450"/>
      <c r="QYG102" s="450"/>
      <c r="QYH102" s="450"/>
      <c r="QYI102" s="450"/>
      <c r="QYJ102" s="450"/>
      <c r="QYK102" s="450"/>
      <c r="QYL102" s="450"/>
      <c r="QYM102" s="450"/>
      <c r="QYN102" s="450"/>
      <c r="QYO102" s="450"/>
      <c r="QYP102" s="450"/>
      <c r="QYQ102" s="450"/>
      <c r="QYR102" s="450"/>
      <c r="QYS102" s="450"/>
      <c r="QYT102" s="450"/>
      <c r="QYU102" s="450"/>
      <c r="QYV102" s="450"/>
      <c r="QYW102" s="450"/>
      <c r="QYX102" s="450"/>
      <c r="QYY102" s="450"/>
      <c r="QYZ102" s="450"/>
      <c r="QZA102" s="450"/>
      <c r="QZB102" s="450"/>
      <c r="QZC102" s="450"/>
      <c r="QZD102" s="450"/>
      <c r="QZE102" s="450"/>
      <c r="QZF102" s="450"/>
      <c r="QZG102" s="450"/>
      <c r="QZH102" s="450"/>
      <c r="QZI102" s="450"/>
      <c r="QZJ102" s="450"/>
      <c r="QZK102" s="450"/>
      <c r="QZL102" s="450"/>
      <c r="QZM102" s="450"/>
      <c r="QZN102" s="450"/>
      <c r="QZO102" s="450"/>
      <c r="QZP102" s="450"/>
      <c r="QZQ102" s="450"/>
      <c r="QZR102" s="450"/>
      <c r="QZS102" s="450"/>
      <c r="QZT102" s="450"/>
      <c r="QZU102" s="450"/>
      <c r="QZV102" s="450"/>
      <c r="QZW102" s="450"/>
      <c r="QZX102" s="450"/>
      <c r="QZY102" s="450"/>
      <c r="QZZ102" s="450"/>
      <c r="RAA102" s="450"/>
      <c r="RAB102" s="450"/>
      <c r="RAC102" s="450"/>
      <c r="RAD102" s="450"/>
      <c r="RAE102" s="450"/>
      <c r="RAF102" s="450"/>
      <c r="RAG102" s="450"/>
      <c r="RAH102" s="450"/>
      <c r="RAI102" s="450"/>
      <c r="RAJ102" s="450"/>
      <c r="RAK102" s="450"/>
      <c r="RAL102" s="450"/>
      <c r="RAM102" s="450"/>
      <c r="RAN102" s="450"/>
      <c r="RAO102" s="450"/>
      <c r="RAP102" s="450"/>
      <c r="RAQ102" s="450"/>
      <c r="RAR102" s="450"/>
      <c r="RAS102" s="450"/>
      <c r="RAT102" s="450"/>
      <c r="RAU102" s="450"/>
      <c r="RAV102" s="450"/>
      <c r="RAW102" s="450"/>
      <c r="RAX102" s="450"/>
      <c r="RAY102" s="450"/>
      <c r="RAZ102" s="450"/>
      <c r="RBA102" s="450"/>
      <c r="RBB102" s="450"/>
      <c r="RBC102" s="450"/>
      <c r="RBD102" s="450"/>
      <c r="RBE102" s="450"/>
      <c r="RBF102" s="450"/>
      <c r="RBG102" s="450"/>
      <c r="RBH102" s="450"/>
      <c r="RBI102" s="450"/>
      <c r="RBJ102" s="450"/>
      <c r="RBK102" s="450"/>
      <c r="RBL102" s="450"/>
      <c r="RBM102" s="450"/>
      <c r="RBN102" s="450"/>
      <c r="RBO102" s="450"/>
      <c r="RBP102" s="450"/>
      <c r="RBQ102" s="450"/>
      <c r="RBR102" s="450"/>
      <c r="RBS102" s="450"/>
      <c r="RBT102" s="450"/>
      <c r="RBU102" s="450"/>
      <c r="RBV102" s="450"/>
      <c r="RBW102" s="450"/>
      <c r="RBX102" s="450"/>
      <c r="RBY102" s="450"/>
      <c r="RBZ102" s="450"/>
      <c r="RCA102" s="450"/>
      <c r="RCB102" s="450"/>
      <c r="RCC102" s="450"/>
      <c r="RCD102" s="450"/>
      <c r="RCE102" s="450"/>
      <c r="RCF102" s="450"/>
      <c r="RCG102" s="450"/>
      <c r="RCH102" s="450"/>
      <c r="RCI102" s="450"/>
      <c r="RCJ102" s="450"/>
      <c r="RCK102" s="450"/>
      <c r="RCL102" s="450"/>
      <c r="RCM102" s="450"/>
      <c r="RCN102" s="450"/>
      <c r="RCO102" s="450"/>
      <c r="RCP102" s="450"/>
      <c r="RCQ102" s="450"/>
      <c r="RCR102" s="450"/>
      <c r="RCS102" s="450"/>
      <c r="RCT102" s="450"/>
      <c r="RCU102" s="450"/>
      <c r="RCV102" s="450"/>
      <c r="RCW102" s="450"/>
      <c r="RCX102" s="450"/>
      <c r="RCY102" s="450"/>
      <c r="RCZ102" s="450"/>
      <c r="RDA102" s="450"/>
      <c r="RDB102" s="450"/>
      <c r="RDC102" s="450"/>
      <c r="RDD102" s="450"/>
      <c r="RDE102" s="450"/>
      <c r="RDF102" s="450"/>
      <c r="RDG102" s="450"/>
      <c r="RDH102" s="450"/>
      <c r="RDI102" s="450"/>
      <c r="RDJ102" s="450"/>
      <c r="RDK102" s="450"/>
      <c r="RDL102" s="450"/>
      <c r="RDM102" s="450"/>
      <c r="RDN102" s="450"/>
      <c r="RDO102" s="450"/>
      <c r="RDP102" s="450"/>
      <c r="RDQ102" s="450"/>
      <c r="RDR102" s="450"/>
      <c r="RDS102" s="450"/>
      <c r="RDT102" s="450"/>
      <c r="RDU102" s="450"/>
      <c r="RDV102" s="450"/>
      <c r="RDW102" s="450"/>
      <c r="RDX102" s="450"/>
      <c r="RDY102" s="450"/>
      <c r="RDZ102" s="450"/>
      <c r="REA102" s="450"/>
      <c r="REB102" s="450"/>
      <c r="REC102" s="450"/>
      <c r="RED102" s="450"/>
      <c r="REE102" s="450"/>
      <c r="REF102" s="450"/>
      <c r="REG102" s="450"/>
      <c r="REH102" s="450"/>
      <c r="REI102" s="450"/>
      <c r="REJ102" s="450"/>
      <c r="REK102" s="450"/>
      <c r="REL102" s="450"/>
      <c r="REM102" s="450"/>
      <c r="REN102" s="450"/>
      <c r="REO102" s="450"/>
      <c r="REP102" s="450"/>
      <c r="REQ102" s="450"/>
      <c r="RER102" s="450"/>
      <c r="RES102" s="450"/>
      <c r="RET102" s="450"/>
      <c r="REU102" s="450"/>
      <c r="REV102" s="450"/>
      <c r="REW102" s="450"/>
      <c r="REX102" s="450"/>
      <c r="REY102" s="450"/>
      <c r="REZ102" s="450"/>
      <c r="RFA102" s="450"/>
      <c r="RFB102" s="450"/>
      <c r="RFC102" s="450"/>
      <c r="RFD102" s="450"/>
      <c r="RFE102" s="450"/>
      <c r="RFF102" s="450"/>
      <c r="RFG102" s="450"/>
      <c r="RFH102" s="450"/>
      <c r="RFI102" s="450"/>
      <c r="RFJ102" s="450"/>
      <c r="RFK102" s="450"/>
      <c r="RFL102" s="450"/>
      <c r="RFM102" s="450"/>
      <c r="RFN102" s="450"/>
      <c r="RFO102" s="450"/>
      <c r="RFP102" s="450"/>
      <c r="RFQ102" s="450"/>
      <c r="RFR102" s="450"/>
      <c r="RFS102" s="450"/>
      <c r="RFT102" s="450"/>
      <c r="RFU102" s="450"/>
      <c r="RFV102" s="450"/>
      <c r="RFW102" s="450"/>
      <c r="RFX102" s="450"/>
      <c r="RFY102" s="450"/>
      <c r="RFZ102" s="450"/>
      <c r="RGA102" s="450"/>
      <c r="RGB102" s="450"/>
      <c r="RGC102" s="450"/>
      <c r="RGD102" s="450"/>
      <c r="RGE102" s="450"/>
      <c r="RGF102" s="450"/>
      <c r="RGG102" s="450"/>
      <c r="RGH102" s="450"/>
      <c r="RGI102" s="450"/>
      <c r="RGJ102" s="450"/>
      <c r="RGK102" s="450"/>
      <c r="RGL102" s="450"/>
      <c r="RGM102" s="450"/>
      <c r="RGN102" s="450"/>
      <c r="RGO102" s="450"/>
      <c r="RGP102" s="450"/>
      <c r="RGQ102" s="450"/>
      <c r="RGR102" s="450"/>
      <c r="RGS102" s="450"/>
      <c r="RGT102" s="450"/>
      <c r="RGU102" s="450"/>
      <c r="RGV102" s="450"/>
      <c r="RGW102" s="450"/>
      <c r="RGX102" s="450"/>
      <c r="RGY102" s="450"/>
      <c r="RGZ102" s="450"/>
      <c r="RHA102" s="450"/>
      <c r="RHB102" s="450"/>
      <c r="RHC102" s="450"/>
      <c r="RHD102" s="450"/>
      <c r="RHE102" s="450"/>
      <c r="RHF102" s="450"/>
      <c r="RHG102" s="450"/>
      <c r="RHH102" s="450"/>
      <c r="RHI102" s="450"/>
      <c r="RHJ102" s="450"/>
      <c r="RHK102" s="450"/>
      <c r="RHL102" s="450"/>
      <c r="RHM102" s="450"/>
      <c r="RHN102" s="450"/>
      <c r="RHO102" s="450"/>
      <c r="RHP102" s="450"/>
      <c r="RHQ102" s="450"/>
      <c r="RHR102" s="450"/>
      <c r="RHS102" s="450"/>
      <c r="RHT102" s="450"/>
      <c r="RHU102" s="450"/>
      <c r="RHV102" s="450"/>
      <c r="RHW102" s="450"/>
      <c r="RHX102" s="450"/>
      <c r="RHY102" s="450"/>
      <c r="RHZ102" s="450"/>
      <c r="RIA102" s="450"/>
      <c r="RIB102" s="450"/>
      <c r="RIC102" s="450"/>
      <c r="RID102" s="450"/>
      <c r="RIE102" s="450"/>
      <c r="RIF102" s="450"/>
      <c r="RIG102" s="450"/>
      <c r="RIH102" s="450"/>
      <c r="RII102" s="450"/>
      <c r="RIJ102" s="450"/>
      <c r="RIK102" s="450"/>
      <c r="RIL102" s="450"/>
      <c r="RIM102" s="450"/>
      <c r="RIN102" s="450"/>
      <c r="RIO102" s="450"/>
      <c r="RIP102" s="450"/>
      <c r="RIQ102" s="450"/>
      <c r="RIR102" s="450"/>
      <c r="RIS102" s="450"/>
      <c r="RIT102" s="450"/>
      <c r="RIU102" s="450"/>
      <c r="RIV102" s="450"/>
      <c r="RIW102" s="450"/>
      <c r="RIX102" s="450"/>
      <c r="RIY102" s="450"/>
      <c r="RIZ102" s="450"/>
      <c r="RJA102" s="450"/>
      <c r="RJB102" s="450"/>
      <c r="RJC102" s="450"/>
      <c r="RJD102" s="450"/>
      <c r="RJE102" s="450"/>
      <c r="RJF102" s="450"/>
      <c r="RJG102" s="450"/>
      <c r="RJH102" s="450"/>
      <c r="RJI102" s="450"/>
      <c r="RJJ102" s="450"/>
      <c r="RJK102" s="450"/>
      <c r="RJL102" s="450"/>
      <c r="RJM102" s="450"/>
      <c r="RJN102" s="450"/>
      <c r="RJO102" s="450"/>
      <c r="RJP102" s="450"/>
      <c r="RJQ102" s="450"/>
      <c r="RJR102" s="450"/>
      <c r="RJS102" s="450"/>
      <c r="RJT102" s="450"/>
      <c r="RJU102" s="450"/>
      <c r="RJV102" s="450"/>
      <c r="RJW102" s="450"/>
      <c r="RJX102" s="450"/>
      <c r="RJY102" s="450"/>
      <c r="RJZ102" s="450"/>
      <c r="RKA102" s="450"/>
      <c r="RKB102" s="450"/>
      <c r="RKC102" s="450"/>
      <c r="RKD102" s="450"/>
      <c r="RKE102" s="450"/>
      <c r="RKF102" s="450"/>
      <c r="RKG102" s="450"/>
      <c r="RKH102" s="450"/>
      <c r="RKI102" s="450"/>
      <c r="RKJ102" s="450"/>
      <c r="RKK102" s="450"/>
      <c r="RKL102" s="450"/>
      <c r="RKM102" s="450"/>
      <c r="RKN102" s="450"/>
      <c r="RKO102" s="450"/>
      <c r="RKP102" s="450"/>
      <c r="RKQ102" s="450"/>
      <c r="RKR102" s="450"/>
      <c r="RKS102" s="450"/>
      <c r="RKT102" s="450"/>
      <c r="RKU102" s="450"/>
      <c r="RKV102" s="450"/>
      <c r="RKW102" s="450"/>
      <c r="RKX102" s="450"/>
      <c r="RKY102" s="450"/>
      <c r="RKZ102" s="450"/>
      <c r="RLA102" s="450"/>
      <c r="RLB102" s="450"/>
      <c r="RLC102" s="450"/>
      <c r="RLD102" s="450"/>
      <c r="RLE102" s="450"/>
      <c r="RLF102" s="450"/>
      <c r="RLG102" s="450"/>
      <c r="RLH102" s="450"/>
      <c r="RLI102" s="450"/>
      <c r="RLJ102" s="450"/>
      <c r="RLK102" s="450"/>
      <c r="RLL102" s="450"/>
      <c r="RLM102" s="450"/>
      <c r="RLN102" s="450"/>
      <c r="RLO102" s="450"/>
      <c r="RLP102" s="450"/>
      <c r="RLQ102" s="450"/>
      <c r="RLR102" s="450"/>
      <c r="RLS102" s="450"/>
      <c r="RLT102" s="450"/>
      <c r="RLU102" s="450"/>
      <c r="RLV102" s="450"/>
      <c r="RLW102" s="450"/>
      <c r="RLX102" s="450"/>
      <c r="RLY102" s="450"/>
      <c r="RLZ102" s="450"/>
      <c r="RMA102" s="450"/>
      <c r="RMB102" s="450"/>
      <c r="RMC102" s="450"/>
      <c r="RMD102" s="450"/>
      <c r="RME102" s="450"/>
      <c r="RMF102" s="450"/>
      <c r="RMG102" s="450"/>
      <c r="RMH102" s="450"/>
      <c r="RMI102" s="450"/>
      <c r="RMJ102" s="450"/>
      <c r="RMK102" s="450"/>
      <c r="RML102" s="450"/>
      <c r="RMM102" s="450"/>
      <c r="RMN102" s="450"/>
      <c r="RMO102" s="450"/>
      <c r="RMP102" s="450"/>
      <c r="RMQ102" s="450"/>
      <c r="RMR102" s="450"/>
      <c r="RMS102" s="450"/>
      <c r="RMT102" s="450"/>
      <c r="RMU102" s="450"/>
      <c r="RMV102" s="450"/>
      <c r="RMW102" s="450"/>
      <c r="RMX102" s="450"/>
      <c r="RMY102" s="450"/>
      <c r="RMZ102" s="450"/>
      <c r="RNA102" s="450"/>
      <c r="RNB102" s="450"/>
      <c r="RNC102" s="450"/>
      <c r="RND102" s="450"/>
      <c r="RNE102" s="450"/>
      <c r="RNF102" s="450"/>
      <c r="RNG102" s="450"/>
      <c r="RNH102" s="450"/>
      <c r="RNI102" s="450"/>
      <c r="RNJ102" s="450"/>
      <c r="RNK102" s="450"/>
      <c r="RNL102" s="450"/>
      <c r="RNM102" s="450"/>
      <c r="RNN102" s="450"/>
      <c r="RNO102" s="450"/>
      <c r="RNP102" s="450"/>
      <c r="RNQ102" s="450"/>
      <c r="RNR102" s="450"/>
      <c r="RNS102" s="450"/>
      <c r="RNT102" s="450"/>
      <c r="RNU102" s="450"/>
      <c r="RNV102" s="450"/>
      <c r="RNW102" s="450"/>
      <c r="RNX102" s="450"/>
      <c r="RNY102" s="450"/>
      <c r="RNZ102" s="450"/>
      <c r="ROA102" s="450"/>
      <c r="ROB102" s="450"/>
      <c r="ROC102" s="450"/>
      <c r="ROD102" s="450"/>
      <c r="ROE102" s="450"/>
      <c r="ROF102" s="450"/>
      <c r="ROG102" s="450"/>
      <c r="ROH102" s="450"/>
      <c r="ROI102" s="450"/>
      <c r="ROJ102" s="450"/>
      <c r="ROK102" s="450"/>
      <c r="ROL102" s="450"/>
      <c r="ROM102" s="450"/>
      <c r="RON102" s="450"/>
      <c r="ROO102" s="450"/>
      <c r="ROP102" s="450"/>
      <c r="ROQ102" s="450"/>
      <c r="ROR102" s="450"/>
      <c r="ROS102" s="450"/>
      <c r="ROT102" s="450"/>
      <c r="ROU102" s="450"/>
      <c r="ROV102" s="450"/>
      <c r="ROW102" s="450"/>
      <c r="ROX102" s="450"/>
      <c r="ROY102" s="450"/>
      <c r="ROZ102" s="450"/>
      <c r="RPA102" s="450"/>
      <c r="RPB102" s="450"/>
      <c r="RPC102" s="450"/>
      <c r="RPD102" s="450"/>
      <c r="RPE102" s="450"/>
      <c r="RPF102" s="450"/>
      <c r="RPG102" s="450"/>
      <c r="RPH102" s="450"/>
      <c r="RPI102" s="450"/>
      <c r="RPJ102" s="450"/>
      <c r="RPK102" s="450"/>
      <c r="RPL102" s="450"/>
      <c r="RPM102" s="450"/>
      <c r="RPN102" s="450"/>
      <c r="RPO102" s="450"/>
      <c r="RPP102" s="450"/>
      <c r="RPQ102" s="450"/>
      <c r="RPR102" s="450"/>
      <c r="RPS102" s="450"/>
      <c r="RPT102" s="450"/>
      <c r="RPU102" s="450"/>
      <c r="RPV102" s="450"/>
      <c r="RPW102" s="450"/>
      <c r="RPX102" s="450"/>
      <c r="RPY102" s="450"/>
      <c r="RPZ102" s="450"/>
      <c r="RQA102" s="450"/>
      <c r="RQB102" s="450"/>
      <c r="RQC102" s="450"/>
      <c r="RQD102" s="450"/>
      <c r="RQE102" s="450"/>
      <c r="RQF102" s="450"/>
      <c r="RQG102" s="450"/>
      <c r="RQH102" s="450"/>
      <c r="RQI102" s="450"/>
      <c r="RQJ102" s="450"/>
      <c r="RQK102" s="450"/>
      <c r="RQL102" s="450"/>
      <c r="RQM102" s="450"/>
      <c r="RQN102" s="450"/>
      <c r="RQO102" s="450"/>
      <c r="RQP102" s="450"/>
      <c r="RQQ102" s="450"/>
      <c r="RQR102" s="450"/>
      <c r="RQS102" s="450"/>
      <c r="RQT102" s="450"/>
      <c r="RQU102" s="450"/>
      <c r="RQV102" s="450"/>
      <c r="RQW102" s="450"/>
      <c r="RQX102" s="450"/>
      <c r="RQY102" s="450"/>
      <c r="RQZ102" s="450"/>
      <c r="RRA102" s="450"/>
      <c r="RRB102" s="450"/>
      <c r="RRC102" s="450"/>
      <c r="RRD102" s="450"/>
      <c r="RRE102" s="450"/>
      <c r="RRF102" s="450"/>
      <c r="RRG102" s="450"/>
      <c r="RRH102" s="450"/>
      <c r="RRI102" s="450"/>
      <c r="RRJ102" s="450"/>
      <c r="RRK102" s="450"/>
      <c r="RRL102" s="450"/>
      <c r="RRM102" s="450"/>
      <c r="RRN102" s="450"/>
      <c r="RRO102" s="450"/>
      <c r="RRP102" s="450"/>
      <c r="RRQ102" s="450"/>
      <c r="RRR102" s="450"/>
      <c r="RRS102" s="450"/>
      <c r="RRT102" s="450"/>
      <c r="RRU102" s="450"/>
      <c r="RRV102" s="450"/>
      <c r="RRW102" s="450"/>
      <c r="RRX102" s="450"/>
      <c r="RRY102" s="450"/>
      <c r="RRZ102" s="450"/>
      <c r="RSA102" s="450"/>
      <c r="RSB102" s="450"/>
      <c r="RSC102" s="450"/>
      <c r="RSD102" s="450"/>
      <c r="RSE102" s="450"/>
      <c r="RSF102" s="450"/>
      <c r="RSG102" s="450"/>
      <c r="RSH102" s="450"/>
      <c r="RSI102" s="450"/>
      <c r="RSJ102" s="450"/>
      <c r="RSK102" s="450"/>
      <c r="RSL102" s="450"/>
      <c r="RSM102" s="450"/>
      <c r="RSN102" s="450"/>
      <c r="RSO102" s="450"/>
      <c r="RSP102" s="450"/>
      <c r="RSQ102" s="450"/>
      <c r="RSR102" s="450"/>
      <c r="RSS102" s="450"/>
      <c r="RST102" s="450"/>
      <c r="RSU102" s="450"/>
      <c r="RSV102" s="450"/>
      <c r="RSW102" s="450"/>
      <c r="RSX102" s="450"/>
      <c r="RSY102" s="450"/>
      <c r="RSZ102" s="450"/>
      <c r="RTA102" s="450"/>
      <c r="RTB102" s="450"/>
      <c r="RTC102" s="450"/>
      <c r="RTD102" s="450"/>
      <c r="RTE102" s="450"/>
      <c r="RTF102" s="450"/>
      <c r="RTG102" s="450"/>
      <c r="RTH102" s="450"/>
      <c r="RTI102" s="450"/>
      <c r="RTJ102" s="450"/>
      <c r="RTK102" s="450"/>
      <c r="RTL102" s="450"/>
      <c r="RTM102" s="450"/>
      <c r="RTN102" s="450"/>
      <c r="RTO102" s="450"/>
      <c r="RTP102" s="450"/>
      <c r="RTQ102" s="450"/>
      <c r="RTR102" s="450"/>
      <c r="RTS102" s="450"/>
      <c r="RTT102" s="450"/>
      <c r="RTU102" s="450"/>
      <c r="RTV102" s="450"/>
      <c r="RTW102" s="450"/>
      <c r="RTX102" s="450"/>
      <c r="RTY102" s="450"/>
      <c r="RTZ102" s="450"/>
      <c r="RUA102" s="450"/>
      <c r="RUB102" s="450"/>
      <c r="RUC102" s="450"/>
      <c r="RUD102" s="450"/>
      <c r="RUE102" s="450"/>
      <c r="RUF102" s="450"/>
      <c r="RUG102" s="450"/>
      <c r="RUH102" s="450"/>
      <c r="RUI102" s="450"/>
      <c r="RUJ102" s="450"/>
      <c r="RUK102" s="450"/>
      <c r="RUL102" s="450"/>
      <c r="RUM102" s="450"/>
      <c r="RUN102" s="450"/>
      <c r="RUO102" s="450"/>
      <c r="RUP102" s="450"/>
      <c r="RUQ102" s="450"/>
      <c r="RUR102" s="450"/>
      <c r="RUS102" s="450"/>
      <c r="RUT102" s="450"/>
      <c r="RUU102" s="450"/>
      <c r="RUV102" s="450"/>
      <c r="RUW102" s="450"/>
      <c r="RUX102" s="450"/>
      <c r="RUY102" s="450"/>
      <c r="RUZ102" s="450"/>
      <c r="RVA102" s="450"/>
      <c r="RVB102" s="450"/>
      <c r="RVC102" s="450"/>
      <c r="RVD102" s="450"/>
      <c r="RVE102" s="450"/>
      <c r="RVF102" s="450"/>
      <c r="RVG102" s="450"/>
      <c r="RVH102" s="450"/>
      <c r="RVI102" s="450"/>
      <c r="RVJ102" s="450"/>
      <c r="RVK102" s="450"/>
      <c r="RVL102" s="450"/>
      <c r="RVM102" s="450"/>
      <c r="RVN102" s="450"/>
      <c r="RVO102" s="450"/>
      <c r="RVP102" s="450"/>
      <c r="RVQ102" s="450"/>
      <c r="RVR102" s="450"/>
      <c r="RVS102" s="450"/>
      <c r="RVT102" s="450"/>
      <c r="RVU102" s="450"/>
      <c r="RVV102" s="450"/>
      <c r="RVW102" s="450"/>
      <c r="RVX102" s="450"/>
      <c r="RVY102" s="450"/>
      <c r="RVZ102" s="450"/>
      <c r="RWA102" s="450"/>
      <c r="RWB102" s="450"/>
      <c r="RWC102" s="450"/>
      <c r="RWD102" s="450"/>
      <c r="RWE102" s="450"/>
      <c r="RWF102" s="450"/>
      <c r="RWG102" s="450"/>
      <c r="RWH102" s="450"/>
      <c r="RWI102" s="450"/>
      <c r="RWJ102" s="450"/>
      <c r="RWK102" s="450"/>
      <c r="RWL102" s="450"/>
      <c r="RWM102" s="450"/>
      <c r="RWN102" s="450"/>
      <c r="RWO102" s="450"/>
      <c r="RWP102" s="450"/>
      <c r="RWQ102" s="450"/>
      <c r="RWR102" s="450"/>
      <c r="RWS102" s="450"/>
      <c r="RWT102" s="450"/>
      <c r="RWU102" s="450"/>
      <c r="RWV102" s="450"/>
      <c r="RWW102" s="450"/>
      <c r="RWX102" s="450"/>
      <c r="RWY102" s="450"/>
      <c r="RWZ102" s="450"/>
      <c r="RXA102" s="450"/>
      <c r="RXB102" s="450"/>
      <c r="RXC102" s="450"/>
      <c r="RXD102" s="450"/>
      <c r="RXE102" s="450"/>
      <c r="RXF102" s="450"/>
      <c r="RXG102" s="450"/>
      <c r="RXH102" s="450"/>
      <c r="RXI102" s="450"/>
      <c r="RXJ102" s="450"/>
      <c r="RXK102" s="450"/>
      <c r="RXL102" s="450"/>
      <c r="RXM102" s="450"/>
      <c r="RXN102" s="450"/>
      <c r="RXO102" s="450"/>
      <c r="RXP102" s="450"/>
      <c r="RXQ102" s="450"/>
      <c r="RXR102" s="450"/>
      <c r="RXS102" s="450"/>
      <c r="RXT102" s="450"/>
      <c r="RXU102" s="450"/>
      <c r="RXV102" s="450"/>
      <c r="RXW102" s="450"/>
      <c r="RXX102" s="450"/>
      <c r="RXY102" s="450"/>
      <c r="RXZ102" s="450"/>
      <c r="RYA102" s="450"/>
      <c r="RYB102" s="450"/>
      <c r="RYC102" s="450"/>
      <c r="RYD102" s="450"/>
      <c r="RYE102" s="450"/>
      <c r="RYF102" s="450"/>
      <c r="RYG102" s="450"/>
      <c r="RYH102" s="450"/>
      <c r="RYI102" s="450"/>
      <c r="RYJ102" s="450"/>
      <c r="RYK102" s="450"/>
      <c r="RYL102" s="450"/>
      <c r="RYM102" s="450"/>
      <c r="RYN102" s="450"/>
      <c r="RYO102" s="450"/>
      <c r="RYP102" s="450"/>
      <c r="RYQ102" s="450"/>
      <c r="RYR102" s="450"/>
      <c r="RYS102" s="450"/>
      <c r="RYT102" s="450"/>
      <c r="RYU102" s="450"/>
      <c r="RYV102" s="450"/>
      <c r="RYW102" s="450"/>
      <c r="RYX102" s="450"/>
      <c r="RYY102" s="450"/>
      <c r="RYZ102" s="450"/>
      <c r="RZA102" s="450"/>
      <c r="RZB102" s="450"/>
      <c r="RZC102" s="450"/>
      <c r="RZD102" s="450"/>
      <c r="RZE102" s="450"/>
      <c r="RZF102" s="450"/>
      <c r="RZG102" s="450"/>
      <c r="RZH102" s="450"/>
      <c r="RZI102" s="450"/>
      <c r="RZJ102" s="450"/>
      <c r="RZK102" s="450"/>
      <c r="RZL102" s="450"/>
      <c r="RZM102" s="450"/>
      <c r="RZN102" s="450"/>
      <c r="RZO102" s="450"/>
      <c r="RZP102" s="450"/>
      <c r="RZQ102" s="450"/>
      <c r="RZR102" s="450"/>
      <c r="RZS102" s="450"/>
      <c r="RZT102" s="450"/>
      <c r="RZU102" s="450"/>
      <c r="RZV102" s="450"/>
      <c r="RZW102" s="450"/>
      <c r="RZX102" s="450"/>
      <c r="RZY102" s="450"/>
      <c r="RZZ102" s="450"/>
      <c r="SAA102" s="450"/>
      <c r="SAB102" s="450"/>
      <c r="SAC102" s="450"/>
      <c r="SAD102" s="450"/>
      <c r="SAE102" s="450"/>
      <c r="SAF102" s="450"/>
      <c r="SAG102" s="450"/>
      <c r="SAH102" s="450"/>
      <c r="SAI102" s="450"/>
      <c r="SAJ102" s="450"/>
      <c r="SAK102" s="450"/>
      <c r="SAL102" s="450"/>
      <c r="SAM102" s="450"/>
      <c r="SAN102" s="450"/>
      <c r="SAO102" s="450"/>
      <c r="SAP102" s="450"/>
      <c r="SAQ102" s="450"/>
      <c r="SAR102" s="450"/>
      <c r="SAS102" s="450"/>
      <c r="SAT102" s="450"/>
      <c r="SAU102" s="450"/>
      <c r="SAV102" s="450"/>
      <c r="SAW102" s="450"/>
      <c r="SAX102" s="450"/>
      <c r="SAY102" s="450"/>
      <c r="SAZ102" s="450"/>
      <c r="SBA102" s="450"/>
      <c r="SBB102" s="450"/>
      <c r="SBC102" s="450"/>
      <c r="SBD102" s="450"/>
      <c r="SBE102" s="450"/>
      <c r="SBF102" s="450"/>
      <c r="SBG102" s="450"/>
      <c r="SBH102" s="450"/>
      <c r="SBI102" s="450"/>
      <c r="SBJ102" s="450"/>
      <c r="SBK102" s="450"/>
      <c r="SBL102" s="450"/>
      <c r="SBM102" s="450"/>
      <c r="SBN102" s="450"/>
      <c r="SBO102" s="450"/>
      <c r="SBP102" s="450"/>
      <c r="SBQ102" s="450"/>
      <c r="SBR102" s="450"/>
      <c r="SBS102" s="450"/>
      <c r="SBT102" s="450"/>
      <c r="SBU102" s="450"/>
      <c r="SBV102" s="450"/>
      <c r="SBW102" s="450"/>
      <c r="SBX102" s="450"/>
      <c r="SBY102" s="450"/>
      <c r="SBZ102" s="450"/>
      <c r="SCA102" s="450"/>
      <c r="SCB102" s="450"/>
      <c r="SCC102" s="450"/>
      <c r="SCD102" s="450"/>
      <c r="SCE102" s="450"/>
      <c r="SCF102" s="450"/>
      <c r="SCG102" s="450"/>
      <c r="SCH102" s="450"/>
      <c r="SCI102" s="450"/>
      <c r="SCJ102" s="450"/>
      <c r="SCK102" s="450"/>
      <c r="SCL102" s="450"/>
      <c r="SCM102" s="450"/>
      <c r="SCN102" s="450"/>
      <c r="SCO102" s="450"/>
      <c r="SCP102" s="450"/>
      <c r="SCQ102" s="450"/>
      <c r="SCR102" s="450"/>
      <c r="SCS102" s="450"/>
      <c r="SCT102" s="450"/>
      <c r="SCU102" s="450"/>
      <c r="SCV102" s="450"/>
      <c r="SCW102" s="450"/>
      <c r="SCX102" s="450"/>
      <c r="SCY102" s="450"/>
      <c r="SCZ102" s="450"/>
      <c r="SDA102" s="450"/>
      <c r="SDB102" s="450"/>
      <c r="SDC102" s="450"/>
      <c r="SDD102" s="450"/>
      <c r="SDE102" s="450"/>
      <c r="SDF102" s="450"/>
      <c r="SDG102" s="450"/>
      <c r="SDH102" s="450"/>
      <c r="SDI102" s="450"/>
      <c r="SDJ102" s="450"/>
      <c r="SDK102" s="450"/>
      <c r="SDL102" s="450"/>
      <c r="SDM102" s="450"/>
      <c r="SDN102" s="450"/>
      <c r="SDO102" s="450"/>
      <c r="SDP102" s="450"/>
      <c r="SDQ102" s="450"/>
      <c r="SDR102" s="450"/>
      <c r="SDS102" s="450"/>
      <c r="SDT102" s="450"/>
      <c r="SDU102" s="450"/>
      <c r="SDV102" s="450"/>
      <c r="SDW102" s="450"/>
      <c r="SDX102" s="450"/>
      <c r="SDY102" s="450"/>
      <c r="SDZ102" s="450"/>
      <c r="SEA102" s="450"/>
      <c r="SEB102" s="450"/>
      <c r="SEC102" s="450"/>
      <c r="SED102" s="450"/>
      <c r="SEE102" s="450"/>
      <c r="SEF102" s="450"/>
      <c r="SEG102" s="450"/>
      <c r="SEH102" s="450"/>
      <c r="SEI102" s="450"/>
      <c r="SEJ102" s="450"/>
      <c r="SEK102" s="450"/>
      <c r="SEL102" s="450"/>
      <c r="SEM102" s="450"/>
      <c r="SEN102" s="450"/>
      <c r="SEO102" s="450"/>
      <c r="SEP102" s="450"/>
      <c r="SEQ102" s="450"/>
      <c r="SER102" s="450"/>
      <c r="SES102" s="450"/>
      <c r="SET102" s="450"/>
      <c r="SEU102" s="450"/>
      <c r="SEV102" s="450"/>
      <c r="SEW102" s="450"/>
      <c r="SEX102" s="450"/>
      <c r="SEY102" s="450"/>
      <c r="SEZ102" s="450"/>
      <c r="SFA102" s="450"/>
      <c r="SFB102" s="450"/>
      <c r="SFC102" s="450"/>
      <c r="SFD102" s="450"/>
      <c r="SFE102" s="450"/>
      <c r="SFF102" s="450"/>
      <c r="SFG102" s="450"/>
      <c r="SFH102" s="450"/>
      <c r="SFI102" s="450"/>
      <c r="SFJ102" s="450"/>
      <c r="SFK102" s="450"/>
      <c r="SFL102" s="450"/>
      <c r="SFM102" s="450"/>
      <c r="SFN102" s="450"/>
      <c r="SFO102" s="450"/>
      <c r="SFP102" s="450"/>
      <c r="SFQ102" s="450"/>
      <c r="SFR102" s="450"/>
      <c r="SFS102" s="450"/>
      <c r="SFT102" s="450"/>
      <c r="SFU102" s="450"/>
      <c r="SFV102" s="450"/>
      <c r="SFW102" s="450"/>
      <c r="SFX102" s="450"/>
      <c r="SFY102" s="450"/>
      <c r="SFZ102" s="450"/>
      <c r="SGA102" s="450"/>
      <c r="SGB102" s="450"/>
      <c r="SGC102" s="450"/>
      <c r="SGD102" s="450"/>
      <c r="SGE102" s="450"/>
      <c r="SGF102" s="450"/>
      <c r="SGG102" s="450"/>
      <c r="SGH102" s="450"/>
      <c r="SGI102" s="450"/>
      <c r="SGJ102" s="450"/>
      <c r="SGK102" s="450"/>
      <c r="SGL102" s="450"/>
      <c r="SGM102" s="450"/>
      <c r="SGN102" s="450"/>
      <c r="SGO102" s="450"/>
      <c r="SGP102" s="450"/>
      <c r="SGQ102" s="450"/>
      <c r="SGR102" s="450"/>
      <c r="SGS102" s="450"/>
      <c r="SGT102" s="450"/>
      <c r="SGU102" s="450"/>
      <c r="SGV102" s="450"/>
      <c r="SGW102" s="450"/>
      <c r="SGX102" s="450"/>
      <c r="SGY102" s="450"/>
      <c r="SGZ102" s="450"/>
      <c r="SHA102" s="450"/>
      <c r="SHB102" s="450"/>
      <c r="SHC102" s="450"/>
      <c r="SHD102" s="450"/>
      <c r="SHE102" s="450"/>
      <c r="SHF102" s="450"/>
      <c r="SHG102" s="450"/>
      <c r="SHH102" s="450"/>
      <c r="SHI102" s="450"/>
      <c r="SHJ102" s="450"/>
      <c r="SHK102" s="450"/>
      <c r="SHL102" s="450"/>
      <c r="SHM102" s="450"/>
      <c r="SHN102" s="450"/>
      <c r="SHO102" s="450"/>
      <c r="SHP102" s="450"/>
      <c r="SHQ102" s="450"/>
      <c r="SHR102" s="450"/>
      <c r="SHS102" s="450"/>
      <c r="SHT102" s="450"/>
      <c r="SHU102" s="450"/>
      <c r="SHV102" s="450"/>
      <c r="SHW102" s="450"/>
      <c r="SHX102" s="450"/>
      <c r="SHY102" s="450"/>
      <c r="SHZ102" s="450"/>
      <c r="SIA102" s="450"/>
      <c r="SIB102" s="450"/>
      <c r="SIC102" s="450"/>
      <c r="SID102" s="450"/>
      <c r="SIE102" s="450"/>
      <c r="SIF102" s="450"/>
      <c r="SIG102" s="450"/>
      <c r="SIH102" s="450"/>
      <c r="SII102" s="450"/>
      <c r="SIJ102" s="450"/>
      <c r="SIK102" s="450"/>
      <c r="SIL102" s="450"/>
      <c r="SIM102" s="450"/>
      <c r="SIN102" s="450"/>
      <c r="SIO102" s="450"/>
      <c r="SIP102" s="450"/>
      <c r="SIQ102" s="450"/>
      <c r="SIR102" s="450"/>
      <c r="SIS102" s="450"/>
      <c r="SIT102" s="450"/>
      <c r="SIU102" s="450"/>
      <c r="SIV102" s="450"/>
      <c r="SIW102" s="450"/>
      <c r="SIX102" s="450"/>
      <c r="SIY102" s="450"/>
      <c r="SIZ102" s="450"/>
      <c r="SJA102" s="450"/>
      <c r="SJB102" s="450"/>
      <c r="SJC102" s="450"/>
      <c r="SJD102" s="450"/>
      <c r="SJE102" s="450"/>
      <c r="SJF102" s="450"/>
      <c r="SJG102" s="450"/>
      <c r="SJH102" s="450"/>
      <c r="SJI102" s="450"/>
      <c r="SJJ102" s="450"/>
      <c r="SJK102" s="450"/>
      <c r="SJL102" s="450"/>
      <c r="SJM102" s="450"/>
      <c r="SJN102" s="450"/>
      <c r="SJO102" s="450"/>
      <c r="SJP102" s="450"/>
      <c r="SJQ102" s="450"/>
      <c r="SJR102" s="450"/>
      <c r="SJS102" s="450"/>
      <c r="SJT102" s="450"/>
      <c r="SJU102" s="450"/>
      <c r="SJV102" s="450"/>
      <c r="SJW102" s="450"/>
      <c r="SJX102" s="450"/>
      <c r="SJY102" s="450"/>
      <c r="SJZ102" s="450"/>
      <c r="SKA102" s="450"/>
      <c r="SKB102" s="450"/>
      <c r="SKC102" s="450"/>
      <c r="SKD102" s="450"/>
      <c r="SKE102" s="450"/>
      <c r="SKF102" s="450"/>
      <c r="SKG102" s="450"/>
      <c r="SKH102" s="450"/>
      <c r="SKI102" s="450"/>
      <c r="SKJ102" s="450"/>
      <c r="SKK102" s="450"/>
      <c r="SKL102" s="450"/>
      <c r="SKM102" s="450"/>
      <c r="SKN102" s="450"/>
      <c r="SKO102" s="450"/>
      <c r="SKP102" s="450"/>
      <c r="SKQ102" s="450"/>
      <c r="SKR102" s="450"/>
      <c r="SKS102" s="450"/>
      <c r="SKT102" s="450"/>
      <c r="SKU102" s="450"/>
      <c r="SKV102" s="450"/>
      <c r="SKW102" s="450"/>
      <c r="SKX102" s="450"/>
      <c r="SKY102" s="450"/>
      <c r="SKZ102" s="450"/>
      <c r="SLA102" s="450"/>
      <c r="SLB102" s="450"/>
      <c r="SLC102" s="450"/>
      <c r="SLD102" s="450"/>
      <c r="SLE102" s="450"/>
      <c r="SLF102" s="450"/>
      <c r="SLG102" s="450"/>
      <c r="SLH102" s="450"/>
      <c r="SLI102" s="450"/>
      <c r="SLJ102" s="450"/>
      <c r="SLK102" s="450"/>
      <c r="SLL102" s="450"/>
      <c r="SLM102" s="450"/>
      <c r="SLN102" s="450"/>
      <c r="SLO102" s="450"/>
      <c r="SLP102" s="450"/>
      <c r="SLQ102" s="450"/>
      <c r="SLR102" s="450"/>
      <c r="SLS102" s="450"/>
      <c r="SLT102" s="450"/>
      <c r="SLU102" s="450"/>
      <c r="SLV102" s="450"/>
      <c r="SLW102" s="450"/>
      <c r="SLX102" s="450"/>
      <c r="SLY102" s="450"/>
      <c r="SLZ102" s="450"/>
      <c r="SMA102" s="450"/>
      <c r="SMB102" s="450"/>
      <c r="SMC102" s="450"/>
      <c r="SMD102" s="450"/>
      <c r="SME102" s="450"/>
      <c r="SMF102" s="450"/>
      <c r="SMG102" s="450"/>
      <c r="SMH102" s="450"/>
      <c r="SMI102" s="450"/>
      <c r="SMJ102" s="450"/>
      <c r="SMK102" s="450"/>
      <c r="SML102" s="450"/>
      <c r="SMM102" s="450"/>
      <c r="SMN102" s="450"/>
      <c r="SMO102" s="450"/>
      <c r="SMP102" s="450"/>
      <c r="SMQ102" s="450"/>
      <c r="SMR102" s="450"/>
      <c r="SMS102" s="450"/>
      <c r="SMT102" s="450"/>
      <c r="SMU102" s="450"/>
      <c r="SMV102" s="450"/>
      <c r="SMW102" s="450"/>
      <c r="SMX102" s="450"/>
      <c r="SMY102" s="450"/>
      <c r="SMZ102" s="450"/>
      <c r="SNA102" s="450"/>
      <c r="SNB102" s="450"/>
      <c r="SNC102" s="450"/>
      <c r="SND102" s="450"/>
      <c r="SNE102" s="450"/>
      <c r="SNF102" s="450"/>
      <c r="SNG102" s="450"/>
      <c r="SNH102" s="450"/>
      <c r="SNI102" s="450"/>
      <c r="SNJ102" s="450"/>
      <c r="SNK102" s="450"/>
      <c r="SNL102" s="450"/>
      <c r="SNM102" s="450"/>
      <c r="SNN102" s="450"/>
      <c r="SNO102" s="450"/>
      <c r="SNP102" s="450"/>
      <c r="SNQ102" s="450"/>
      <c r="SNR102" s="450"/>
      <c r="SNS102" s="450"/>
      <c r="SNT102" s="450"/>
      <c r="SNU102" s="450"/>
      <c r="SNV102" s="450"/>
      <c r="SNW102" s="450"/>
      <c r="SNX102" s="450"/>
      <c r="SNY102" s="450"/>
      <c r="SNZ102" s="450"/>
      <c r="SOA102" s="450"/>
      <c r="SOB102" s="450"/>
      <c r="SOC102" s="450"/>
      <c r="SOD102" s="450"/>
      <c r="SOE102" s="450"/>
      <c r="SOF102" s="450"/>
      <c r="SOG102" s="450"/>
      <c r="SOH102" s="450"/>
      <c r="SOI102" s="450"/>
      <c r="SOJ102" s="450"/>
      <c r="SOK102" s="450"/>
      <c r="SOL102" s="450"/>
      <c r="SOM102" s="450"/>
      <c r="SON102" s="450"/>
      <c r="SOO102" s="450"/>
      <c r="SOP102" s="450"/>
      <c r="SOQ102" s="450"/>
      <c r="SOR102" s="450"/>
      <c r="SOS102" s="450"/>
      <c r="SOT102" s="450"/>
      <c r="SOU102" s="450"/>
      <c r="SOV102" s="450"/>
      <c r="SOW102" s="450"/>
      <c r="SOX102" s="450"/>
      <c r="SOY102" s="450"/>
      <c r="SOZ102" s="450"/>
      <c r="SPA102" s="450"/>
      <c r="SPB102" s="450"/>
      <c r="SPC102" s="450"/>
      <c r="SPD102" s="450"/>
      <c r="SPE102" s="450"/>
      <c r="SPF102" s="450"/>
      <c r="SPG102" s="450"/>
      <c r="SPH102" s="450"/>
      <c r="SPI102" s="450"/>
      <c r="SPJ102" s="450"/>
      <c r="SPK102" s="450"/>
      <c r="SPL102" s="450"/>
      <c r="SPM102" s="450"/>
      <c r="SPN102" s="450"/>
      <c r="SPO102" s="450"/>
      <c r="SPP102" s="450"/>
      <c r="SPQ102" s="450"/>
      <c r="SPR102" s="450"/>
      <c r="SPS102" s="450"/>
      <c r="SPT102" s="450"/>
      <c r="SPU102" s="450"/>
      <c r="SPV102" s="450"/>
      <c r="SPW102" s="450"/>
      <c r="SPX102" s="450"/>
      <c r="SPY102" s="450"/>
      <c r="SPZ102" s="450"/>
      <c r="SQA102" s="450"/>
      <c r="SQB102" s="450"/>
      <c r="SQC102" s="450"/>
      <c r="SQD102" s="450"/>
      <c r="SQE102" s="450"/>
      <c r="SQF102" s="450"/>
      <c r="SQG102" s="450"/>
      <c r="SQH102" s="450"/>
      <c r="SQI102" s="450"/>
      <c r="SQJ102" s="450"/>
      <c r="SQK102" s="450"/>
      <c r="SQL102" s="450"/>
      <c r="SQM102" s="450"/>
      <c r="SQN102" s="450"/>
      <c r="SQO102" s="450"/>
      <c r="SQP102" s="450"/>
      <c r="SQQ102" s="450"/>
      <c r="SQR102" s="450"/>
      <c r="SQS102" s="450"/>
      <c r="SQT102" s="450"/>
      <c r="SQU102" s="450"/>
      <c r="SQV102" s="450"/>
      <c r="SQW102" s="450"/>
      <c r="SQX102" s="450"/>
      <c r="SQY102" s="450"/>
      <c r="SQZ102" s="450"/>
      <c r="SRA102" s="450"/>
      <c r="SRB102" s="450"/>
      <c r="SRC102" s="450"/>
      <c r="SRD102" s="450"/>
      <c r="SRE102" s="450"/>
      <c r="SRF102" s="450"/>
      <c r="SRG102" s="450"/>
      <c r="SRH102" s="450"/>
      <c r="SRI102" s="450"/>
      <c r="SRJ102" s="450"/>
      <c r="SRK102" s="450"/>
      <c r="SRL102" s="450"/>
      <c r="SRM102" s="450"/>
      <c r="SRN102" s="450"/>
      <c r="SRO102" s="450"/>
      <c r="SRP102" s="450"/>
      <c r="SRQ102" s="450"/>
      <c r="SRR102" s="450"/>
      <c r="SRS102" s="450"/>
      <c r="SRT102" s="450"/>
      <c r="SRU102" s="450"/>
      <c r="SRV102" s="450"/>
      <c r="SRW102" s="450"/>
      <c r="SRX102" s="450"/>
      <c r="SRY102" s="450"/>
      <c r="SRZ102" s="450"/>
      <c r="SSA102" s="450"/>
      <c r="SSB102" s="450"/>
      <c r="SSC102" s="450"/>
      <c r="SSD102" s="450"/>
      <c r="SSE102" s="450"/>
      <c r="SSF102" s="450"/>
      <c r="SSG102" s="450"/>
      <c r="SSH102" s="450"/>
      <c r="SSI102" s="450"/>
      <c r="SSJ102" s="450"/>
      <c r="SSK102" s="450"/>
      <c r="SSL102" s="450"/>
      <c r="SSM102" s="450"/>
      <c r="SSN102" s="450"/>
      <c r="SSO102" s="450"/>
      <c r="SSP102" s="450"/>
      <c r="SSQ102" s="450"/>
      <c r="SSR102" s="450"/>
      <c r="SSS102" s="450"/>
      <c r="SST102" s="450"/>
      <c r="SSU102" s="450"/>
      <c r="SSV102" s="450"/>
      <c r="SSW102" s="450"/>
      <c r="SSX102" s="450"/>
      <c r="SSY102" s="450"/>
      <c r="SSZ102" s="450"/>
      <c r="STA102" s="450"/>
      <c r="STB102" s="450"/>
      <c r="STC102" s="450"/>
      <c r="STD102" s="450"/>
      <c r="STE102" s="450"/>
      <c r="STF102" s="450"/>
      <c r="STG102" s="450"/>
      <c r="STH102" s="450"/>
      <c r="STI102" s="450"/>
      <c r="STJ102" s="450"/>
      <c r="STK102" s="450"/>
      <c r="STL102" s="450"/>
      <c r="STM102" s="450"/>
      <c r="STN102" s="450"/>
      <c r="STO102" s="450"/>
      <c r="STP102" s="450"/>
      <c r="STQ102" s="450"/>
      <c r="STR102" s="450"/>
      <c r="STS102" s="450"/>
      <c r="STT102" s="450"/>
      <c r="STU102" s="450"/>
      <c r="STV102" s="450"/>
      <c r="STW102" s="450"/>
      <c r="STX102" s="450"/>
      <c r="STY102" s="450"/>
      <c r="STZ102" s="450"/>
      <c r="SUA102" s="450"/>
      <c r="SUB102" s="450"/>
      <c r="SUC102" s="450"/>
      <c r="SUD102" s="450"/>
      <c r="SUE102" s="450"/>
      <c r="SUF102" s="450"/>
      <c r="SUG102" s="450"/>
      <c r="SUH102" s="450"/>
      <c r="SUI102" s="450"/>
      <c r="SUJ102" s="450"/>
      <c r="SUK102" s="450"/>
      <c r="SUL102" s="450"/>
      <c r="SUM102" s="450"/>
      <c r="SUN102" s="450"/>
      <c r="SUO102" s="450"/>
      <c r="SUP102" s="450"/>
      <c r="SUQ102" s="450"/>
      <c r="SUR102" s="450"/>
      <c r="SUS102" s="450"/>
      <c r="SUT102" s="450"/>
      <c r="SUU102" s="450"/>
      <c r="SUV102" s="450"/>
      <c r="SUW102" s="450"/>
      <c r="SUX102" s="450"/>
      <c r="SUY102" s="450"/>
      <c r="SUZ102" s="450"/>
      <c r="SVA102" s="450"/>
      <c r="SVB102" s="450"/>
      <c r="SVC102" s="450"/>
      <c r="SVD102" s="450"/>
      <c r="SVE102" s="450"/>
      <c r="SVF102" s="450"/>
      <c r="SVG102" s="450"/>
      <c r="SVH102" s="450"/>
      <c r="SVI102" s="450"/>
      <c r="SVJ102" s="450"/>
      <c r="SVK102" s="450"/>
      <c r="SVL102" s="450"/>
      <c r="SVM102" s="450"/>
      <c r="SVN102" s="450"/>
      <c r="SVO102" s="450"/>
      <c r="SVP102" s="450"/>
      <c r="SVQ102" s="450"/>
      <c r="SVR102" s="450"/>
      <c r="SVS102" s="450"/>
      <c r="SVT102" s="450"/>
      <c r="SVU102" s="450"/>
      <c r="SVV102" s="450"/>
      <c r="SVW102" s="450"/>
      <c r="SVX102" s="450"/>
      <c r="SVY102" s="450"/>
      <c r="SVZ102" s="450"/>
      <c r="SWA102" s="450"/>
      <c r="SWB102" s="450"/>
      <c r="SWC102" s="450"/>
      <c r="SWD102" s="450"/>
      <c r="SWE102" s="450"/>
      <c r="SWF102" s="450"/>
      <c r="SWG102" s="450"/>
      <c r="SWH102" s="450"/>
      <c r="SWI102" s="450"/>
      <c r="SWJ102" s="450"/>
      <c r="SWK102" s="450"/>
      <c r="SWL102" s="450"/>
      <c r="SWM102" s="450"/>
      <c r="SWN102" s="450"/>
      <c r="SWO102" s="450"/>
      <c r="SWP102" s="450"/>
      <c r="SWQ102" s="450"/>
      <c r="SWR102" s="450"/>
      <c r="SWS102" s="450"/>
      <c r="SWT102" s="450"/>
      <c r="SWU102" s="450"/>
      <c r="SWV102" s="450"/>
      <c r="SWW102" s="450"/>
      <c r="SWX102" s="450"/>
      <c r="SWY102" s="450"/>
      <c r="SWZ102" s="450"/>
      <c r="SXA102" s="450"/>
      <c r="SXB102" s="450"/>
      <c r="SXC102" s="450"/>
      <c r="SXD102" s="450"/>
      <c r="SXE102" s="450"/>
      <c r="SXF102" s="450"/>
      <c r="SXG102" s="450"/>
      <c r="SXH102" s="450"/>
      <c r="SXI102" s="450"/>
      <c r="SXJ102" s="450"/>
      <c r="SXK102" s="450"/>
      <c r="SXL102" s="450"/>
      <c r="SXM102" s="450"/>
      <c r="SXN102" s="450"/>
      <c r="SXO102" s="450"/>
      <c r="SXP102" s="450"/>
      <c r="SXQ102" s="450"/>
      <c r="SXR102" s="450"/>
      <c r="SXS102" s="450"/>
      <c r="SXT102" s="450"/>
      <c r="SXU102" s="450"/>
      <c r="SXV102" s="450"/>
      <c r="SXW102" s="450"/>
      <c r="SXX102" s="450"/>
      <c r="SXY102" s="450"/>
      <c r="SXZ102" s="450"/>
      <c r="SYA102" s="450"/>
      <c r="SYB102" s="450"/>
      <c r="SYC102" s="450"/>
      <c r="SYD102" s="450"/>
      <c r="SYE102" s="450"/>
      <c r="SYF102" s="450"/>
      <c r="SYG102" s="450"/>
      <c r="SYH102" s="450"/>
      <c r="SYI102" s="450"/>
      <c r="SYJ102" s="450"/>
      <c r="SYK102" s="450"/>
      <c r="SYL102" s="450"/>
      <c r="SYM102" s="450"/>
      <c r="SYN102" s="450"/>
      <c r="SYO102" s="450"/>
      <c r="SYP102" s="450"/>
      <c r="SYQ102" s="450"/>
      <c r="SYR102" s="450"/>
      <c r="SYS102" s="450"/>
      <c r="SYT102" s="450"/>
      <c r="SYU102" s="450"/>
      <c r="SYV102" s="450"/>
      <c r="SYW102" s="450"/>
      <c r="SYX102" s="450"/>
      <c r="SYY102" s="450"/>
      <c r="SYZ102" s="450"/>
      <c r="SZA102" s="450"/>
      <c r="SZB102" s="450"/>
      <c r="SZC102" s="450"/>
      <c r="SZD102" s="450"/>
      <c r="SZE102" s="450"/>
      <c r="SZF102" s="450"/>
      <c r="SZG102" s="450"/>
      <c r="SZH102" s="450"/>
      <c r="SZI102" s="450"/>
      <c r="SZJ102" s="450"/>
      <c r="SZK102" s="450"/>
      <c r="SZL102" s="450"/>
      <c r="SZM102" s="450"/>
      <c r="SZN102" s="450"/>
      <c r="SZO102" s="450"/>
      <c r="SZP102" s="450"/>
      <c r="SZQ102" s="450"/>
      <c r="SZR102" s="450"/>
      <c r="SZS102" s="450"/>
      <c r="SZT102" s="450"/>
      <c r="SZU102" s="450"/>
      <c r="SZV102" s="450"/>
      <c r="SZW102" s="450"/>
      <c r="SZX102" s="450"/>
      <c r="SZY102" s="450"/>
      <c r="SZZ102" s="450"/>
      <c r="TAA102" s="450"/>
      <c r="TAB102" s="450"/>
      <c r="TAC102" s="450"/>
      <c r="TAD102" s="450"/>
      <c r="TAE102" s="450"/>
      <c r="TAF102" s="450"/>
      <c r="TAG102" s="450"/>
      <c r="TAH102" s="450"/>
      <c r="TAI102" s="450"/>
      <c r="TAJ102" s="450"/>
      <c r="TAK102" s="450"/>
      <c r="TAL102" s="450"/>
      <c r="TAM102" s="450"/>
      <c r="TAN102" s="450"/>
      <c r="TAO102" s="450"/>
      <c r="TAP102" s="450"/>
      <c r="TAQ102" s="450"/>
      <c r="TAR102" s="450"/>
      <c r="TAS102" s="450"/>
      <c r="TAT102" s="450"/>
      <c r="TAU102" s="450"/>
      <c r="TAV102" s="450"/>
      <c r="TAW102" s="450"/>
      <c r="TAX102" s="450"/>
      <c r="TAY102" s="450"/>
      <c r="TAZ102" s="450"/>
      <c r="TBA102" s="450"/>
      <c r="TBB102" s="450"/>
      <c r="TBC102" s="450"/>
      <c r="TBD102" s="450"/>
      <c r="TBE102" s="450"/>
      <c r="TBF102" s="450"/>
      <c r="TBG102" s="450"/>
      <c r="TBH102" s="450"/>
      <c r="TBI102" s="450"/>
      <c r="TBJ102" s="450"/>
      <c r="TBK102" s="450"/>
      <c r="TBL102" s="450"/>
      <c r="TBM102" s="450"/>
      <c r="TBN102" s="450"/>
      <c r="TBO102" s="450"/>
      <c r="TBP102" s="450"/>
      <c r="TBQ102" s="450"/>
      <c r="TBR102" s="450"/>
      <c r="TBS102" s="450"/>
      <c r="TBT102" s="450"/>
      <c r="TBU102" s="450"/>
      <c r="TBV102" s="450"/>
      <c r="TBW102" s="450"/>
      <c r="TBX102" s="450"/>
      <c r="TBY102" s="450"/>
      <c r="TBZ102" s="450"/>
      <c r="TCA102" s="450"/>
      <c r="TCB102" s="450"/>
      <c r="TCC102" s="450"/>
      <c r="TCD102" s="450"/>
      <c r="TCE102" s="450"/>
      <c r="TCF102" s="450"/>
      <c r="TCG102" s="450"/>
      <c r="TCH102" s="450"/>
      <c r="TCI102" s="450"/>
      <c r="TCJ102" s="450"/>
      <c r="TCK102" s="450"/>
      <c r="TCL102" s="450"/>
      <c r="TCM102" s="450"/>
      <c r="TCN102" s="450"/>
      <c r="TCO102" s="450"/>
      <c r="TCP102" s="450"/>
      <c r="TCQ102" s="450"/>
      <c r="TCR102" s="450"/>
      <c r="TCS102" s="450"/>
      <c r="TCT102" s="450"/>
      <c r="TCU102" s="450"/>
      <c r="TCV102" s="450"/>
      <c r="TCW102" s="450"/>
      <c r="TCX102" s="450"/>
      <c r="TCY102" s="450"/>
      <c r="TCZ102" s="450"/>
      <c r="TDA102" s="450"/>
      <c r="TDB102" s="450"/>
      <c r="TDC102" s="450"/>
      <c r="TDD102" s="450"/>
      <c r="TDE102" s="450"/>
      <c r="TDF102" s="450"/>
      <c r="TDG102" s="450"/>
      <c r="TDH102" s="450"/>
      <c r="TDI102" s="450"/>
      <c r="TDJ102" s="450"/>
      <c r="TDK102" s="450"/>
      <c r="TDL102" s="450"/>
      <c r="TDM102" s="450"/>
      <c r="TDN102" s="450"/>
      <c r="TDO102" s="450"/>
      <c r="TDP102" s="450"/>
      <c r="TDQ102" s="450"/>
      <c r="TDR102" s="450"/>
      <c r="TDS102" s="450"/>
      <c r="TDT102" s="450"/>
      <c r="TDU102" s="450"/>
      <c r="TDV102" s="450"/>
      <c r="TDW102" s="450"/>
      <c r="TDX102" s="450"/>
      <c r="TDY102" s="450"/>
      <c r="TDZ102" s="450"/>
      <c r="TEA102" s="450"/>
      <c r="TEB102" s="450"/>
      <c r="TEC102" s="450"/>
      <c r="TED102" s="450"/>
      <c r="TEE102" s="450"/>
      <c r="TEF102" s="450"/>
      <c r="TEG102" s="450"/>
      <c r="TEH102" s="450"/>
      <c r="TEI102" s="450"/>
      <c r="TEJ102" s="450"/>
      <c r="TEK102" s="450"/>
      <c r="TEL102" s="450"/>
      <c r="TEM102" s="450"/>
      <c r="TEN102" s="450"/>
      <c r="TEO102" s="450"/>
      <c r="TEP102" s="450"/>
      <c r="TEQ102" s="450"/>
      <c r="TER102" s="450"/>
      <c r="TES102" s="450"/>
      <c r="TET102" s="450"/>
      <c r="TEU102" s="450"/>
      <c r="TEV102" s="450"/>
      <c r="TEW102" s="450"/>
      <c r="TEX102" s="450"/>
      <c r="TEY102" s="450"/>
      <c r="TEZ102" s="450"/>
      <c r="TFA102" s="450"/>
      <c r="TFB102" s="450"/>
      <c r="TFC102" s="450"/>
      <c r="TFD102" s="450"/>
      <c r="TFE102" s="450"/>
      <c r="TFF102" s="450"/>
      <c r="TFG102" s="450"/>
      <c r="TFH102" s="450"/>
      <c r="TFI102" s="450"/>
      <c r="TFJ102" s="450"/>
      <c r="TFK102" s="450"/>
      <c r="TFL102" s="450"/>
      <c r="TFM102" s="450"/>
      <c r="TFN102" s="450"/>
      <c r="TFO102" s="450"/>
      <c r="TFP102" s="450"/>
      <c r="TFQ102" s="450"/>
      <c r="TFR102" s="450"/>
      <c r="TFS102" s="450"/>
      <c r="TFT102" s="450"/>
      <c r="TFU102" s="450"/>
      <c r="TFV102" s="450"/>
      <c r="TFW102" s="450"/>
      <c r="TFX102" s="450"/>
      <c r="TFY102" s="450"/>
      <c r="TFZ102" s="450"/>
      <c r="TGA102" s="450"/>
      <c r="TGB102" s="450"/>
      <c r="TGC102" s="450"/>
      <c r="TGD102" s="450"/>
      <c r="TGE102" s="450"/>
      <c r="TGF102" s="450"/>
      <c r="TGG102" s="450"/>
      <c r="TGH102" s="450"/>
      <c r="TGI102" s="450"/>
      <c r="TGJ102" s="450"/>
      <c r="TGK102" s="450"/>
      <c r="TGL102" s="450"/>
      <c r="TGM102" s="450"/>
      <c r="TGN102" s="450"/>
      <c r="TGO102" s="450"/>
      <c r="TGP102" s="450"/>
      <c r="TGQ102" s="450"/>
      <c r="TGR102" s="450"/>
      <c r="TGS102" s="450"/>
      <c r="TGT102" s="450"/>
      <c r="TGU102" s="450"/>
      <c r="TGV102" s="450"/>
      <c r="TGW102" s="450"/>
      <c r="TGX102" s="450"/>
      <c r="TGY102" s="450"/>
      <c r="TGZ102" s="450"/>
      <c r="THA102" s="450"/>
      <c r="THB102" s="450"/>
      <c r="THC102" s="450"/>
      <c r="THD102" s="450"/>
      <c r="THE102" s="450"/>
      <c r="THF102" s="450"/>
      <c r="THG102" s="450"/>
      <c r="THH102" s="450"/>
      <c r="THI102" s="450"/>
      <c r="THJ102" s="450"/>
      <c r="THK102" s="450"/>
      <c r="THL102" s="450"/>
      <c r="THM102" s="450"/>
      <c r="THN102" s="450"/>
      <c r="THO102" s="450"/>
      <c r="THP102" s="450"/>
      <c r="THQ102" s="450"/>
      <c r="THR102" s="450"/>
      <c r="THS102" s="450"/>
      <c r="THT102" s="450"/>
      <c r="THU102" s="450"/>
      <c r="THV102" s="450"/>
      <c r="THW102" s="450"/>
      <c r="THX102" s="450"/>
      <c r="THY102" s="450"/>
      <c r="THZ102" s="450"/>
      <c r="TIA102" s="450"/>
      <c r="TIB102" s="450"/>
      <c r="TIC102" s="450"/>
      <c r="TID102" s="450"/>
      <c r="TIE102" s="450"/>
      <c r="TIF102" s="450"/>
      <c r="TIG102" s="450"/>
      <c r="TIH102" s="450"/>
      <c r="TII102" s="450"/>
      <c r="TIJ102" s="450"/>
      <c r="TIK102" s="450"/>
      <c r="TIL102" s="450"/>
      <c r="TIM102" s="450"/>
      <c r="TIN102" s="450"/>
      <c r="TIO102" s="450"/>
      <c r="TIP102" s="450"/>
      <c r="TIQ102" s="450"/>
      <c r="TIR102" s="450"/>
      <c r="TIS102" s="450"/>
      <c r="TIT102" s="450"/>
      <c r="TIU102" s="450"/>
      <c r="TIV102" s="450"/>
      <c r="TIW102" s="450"/>
      <c r="TIX102" s="450"/>
      <c r="TIY102" s="450"/>
      <c r="TIZ102" s="450"/>
      <c r="TJA102" s="450"/>
      <c r="TJB102" s="450"/>
      <c r="TJC102" s="450"/>
      <c r="TJD102" s="450"/>
      <c r="TJE102" s="450"/>
      <c r="TJF102" s="450"/>
      <c r="TJG102" s="450"/>
      <c r="TJH102" s="450"/>
      <c r="TJI102" s="450"/>
      <c r="TJJ102" s="450"/>
      <c r="TJK102" s="450"/>
      <c r="TJL102" s="450"/>
      <c r="TJM102" s="450"/>
      <c r="TJN102" s="450"/>
      <c r="TJO102" s="450"/>
      <c r="TJP102" s="450"/>
      <c r="TJQ102" s="450"/>
      <c r="TJR102" s="450"/>
      <c r="TJS102" s="450"/>
      <c r="TJT102" s="450"/>
      <c r="TJU102" s="450"/>
      <c r="TJV102" s="450"/>
      <c r="TJW102" s="450"/>
      <c r="TJX102" s="450"/>
      <c r="TJY102" s="450"/>
      <c r="TJZ102" s="450"/>
      <c r="TKA102" s="450"/>
      <c r="TKB102" s="450"/>
      <c r="TKC102" s="450"/>
      <c r="TKD102" s="450"/>
      <c r="TKE102" s="450"/>
      <c r="TKF102" s="450"/>
      <c r="TKG102" s="450"/>
      <c r="TKH102" s="450"/>
      <c r="TKI102" s="450"/>
      <c r="TKJ102" s="450"/>
      <c r="TKK102" s="450"/>
      <c r="TKL102" s="450"/>
      <c r="TKM102" s="450"/>
      <c r="TKN102" s="450"/>
      <c r="TKO102" s="450"/>
      <c r="TKP102" s="450"/>
      <c r="TKQ102" s="450"/>
      <c r="TKR102" s="450"/>
      <c r="TKS102" s="450"/>
      <c r="TKT102" s="450"/>
      <c r="TKU102" s="450"/>
      <c r="TKV102" s="450"/>
      <c r="TKW102" s="450"/>
      <c r="TKX102" s="450"/>
      <c r="TKY102" s="450"/>
      <c r="TKZ102" s="450"/>
      <c r="TLA102" s="450"/>
      <c r="TLB102" s="450"/>
      <c r="TLC102" s="450"/>
      <c r="TLD102" s="450"/>
      <c r="TLE102" s="450"/>
      <c r="TLF102" s="450"/>
      <c r="TLG102" s="450"/>
      <c r="TLH102" s="450"/>
      <c r="TLI102" s="450"/>
      <c r="TLJ102" s="450"/>
      <c r="TLK102" s="450"/>
      <c r="TLL102" s="450"/>
      <c r="TLM102" s="450"/>
      <c r="TLN102" s="450"/>
      <c r="TLO102" s="450"/>
      <c r="TLP102" s="450"/>
      <c r="TLQ102" s="450"/>
      <c r="TLR102" s="450"/>
      <c r="TLS102" s="450"/>
      <c r="TLT102" s="450"/>
      <c r="TLU102" s="450"/>
      <c r="TLV102" s="450"/>
      <c r="TLW102" s="450"/>
      <c r="TLX102" s="450"/>
      <c r="TLY102" s="450"/>
      <c r="TLZ102" s="450"/>
      <c r="TMA102" s="450"/>
      <c r="TMB102" s="450"/>
      <c r="TMC102" s="450"/>
      <c r="TMD102" s="450"/>
      <c r="TME102" s="450"/>
      <c r="TMF102" s="450"/>
      <c r="TMG102" s="450"/>
      <c r="TMH102" s="450"/>
      <c r="TMI102" s="450"/>
      <c r="TMJ102" s="450"/>
      <c r="TMK102" s="450"/>
      <c r="TML102" s="450"/>
      <c r="TMM102" s="450"/>
      <c r="TMN102" s="450"/>
      <c r="TMO102" s="450"/>
      <c r="TMP102" s="450"/>
      <c r="TMQ102" s="450"/>
      <c r="TMR102" s="450"/>
      <c r="TMS102" s="450"/>
      <c r="TMT102" s="450"/>
      <c r="TMU102" s="450"/>
      <c r="TMV102" s="450"/>
      <c r="TMW102" s="450"/>
      <c r="TMX102" s="450"/>
      <c r="TMY102" s="450"/>
      <c r="TMZ102" s="450"/>
      <c r="TNA102" s="450"/>
      <c r="TNB102" s="450"/>
      <c r="TNC102" s="450"/>
      <c r="TND102" s="450"/>
      <c r="TNE102" s="450"/>
      <c r="TNF102" s="450"/>
      <c r="TNG102" s="450"/>
      <c r="TNH102" s="450"/>
      <c r="TNI102" s="450"/>
      <c r="TNJ102" s="450"/>
      <c r="TNK102" s="450"/>
      <c r="TNL102" s="450"/>
      <c r="TNM102" s="450"/>
      <c r="TNN102" s="450"/>
      <c r="TNO102" s="450"/>
      <c r="TNP102" s="450"/>
      <c r="TNQ102" s="450"/>
      <c r="TNR102" s="450"/>
      <c r="TNS102" s="450"/>
      <c r="TNT102" s="450"/>
      <c r="TNU102" s="450"/>
      <c r="TNV102" s="450"/>
      <c r="TNW102" s="450"/>
      <c r="TNX102" s="450"/>
      <c r="TNY102" s="450"/>
      <c r="TNZ102" s="450"/>
      <c r="TOA102" s="450"/>
      <c r="TOB102" s="450"/>
      <c r="TOC102" s="450"/>
      <c r="TOD102" s="450"/>
      <c r="TOE102" s="450"/>
      <c r="TOF102" s="450"/>
      <c r="TOG102" s="450"/>
      <c r="TOH102" s="450"/>
      <c r="TOI102" s="450"/>
      <c r="TOJ102" s="450"/>
      <c r="TOK102" s="450"/>
      <c r="TOL102" s="450"/>
      <c r="TOM102" s="450"/>
      <c r="TON102" s="450"/>
      <c r="TOO102" s="450"/>
      <c r="TOP102" s="450"/>
      <c r="TOQ102" s="450"/>
      <c r="TOR102" s="450"/>
      <c r="TOS102" s="450"/>
      <c r="TOT102" s="450"/>
      <c r="TOU102" s="450"/>
      <c r="TOV102" s="450"/>
      <c r="TOW102" s="450"/>
      <c r="TOX102" s="450"/>
      <c r="TOY102" s="450"/>
      <c r="TOZ102" s="450"/>
      <c r="TPA102" s="450"/>
      <c r="TPB102" s="450"/>
      <c r="TPC102" s="450"/>
      <c r="TPD102" s="450"/>
      <c r="TPE102" s="450"/>
      <c r="TPF102" s="450"/>
      <c r="TPG102" s="450"/>
      <c r="TPH102" s="450"/>
      <c r="TPI102" s="450"/>
      <c r="TPJ102" s="450"/>
      <c r="TPK102" s="450"/>
      <c r="TPL102" s="450"/>
      <c r="TPM102" s="450"/>
      <c r="TPN102" s="450"/>
      <c r="TPO102" s="450"/>
      <c r="TPP102" s="450"/>
      <c r="TPQ102" s="450"/>
      <c r="TPR102" s="450"/>
      <c r="TPS102" s="450"/>
      <c r="TPT102" s="450"/>
      <c r="TPU102" s="450"/>
      <c r="TPV102" s="450"/>
      <c r="TPW102" s="450"/>
      <c r="TPX102" s="450"/>
      <c r="TPY102" s="450"/>
      <c r="TPZ102" s="450"/>
      <c r="TQA102" s="450"/>
      <c r="TQB102" s="450"/>
      <c r="TQC102" s="450"/>
      <c r="TQD102" s="450"/>
      <c r="TQE102" s="450"/>
      <c r="TQF102" s="450"/>
      <c r="TQG102" s="450"/>
      <c r="TQH102" s="450"/>
      <c r="TQI102" s="450"/>
      <c r="TQJ102" s="450"/>
      <c r="TQK102" s="450"/>
      <c r="TQL102" s="450"/>
      <c r="TQM102" s="450"/>
      <c r="TQN102" s="450"/>
      <c r="TQO102" s="450"/>
      <c r="TQP102" s="450"/>
      <c r="TQQ102" s="450"/>
      <c r="TQR102" s="450"/>
      <c r="TQS102" s="450"/>
      <c r="TQT102" s="450"/>
      <c r="TQU102" s="450"/>
      <c r="TQV102" s="450"/>
      <c r="TQW102" s="450"/>
      <c r="TQX102" s="450"/>
      <c r="TQY102" s="450"/>
      <c r="TQZ102" s="450"/>
      <c r="TRA102" s="450"/>
      <c r="TRB102" s="450"/>
      <c r="TRC102" s="450"/>
      <c r="TRD102" s="450"/>
      <c r="TRE102" s="450"/>
      <c r="TRF102" s="450"/>
      <c r="TRG102" s="450"/>
      <c r="TRH102" s="450"/>
      <c r="TRI102" s="450"/>
      <c r="TRJ102" s="450"/>
      <c r="TRK102" s="450"/>
      <c r="TRL102" s="450"/>
      <c r="TRM102" s="450"/>
      <c r="TRN102" s="450"/>
      <c r="TRO102" s="450"/>
      <c r="TRP102" s="450"/>
      <c r="TRQ102" s="450"/>
      <c r="TRR102" s="450"/>
      <c r="TRS102" s="450"/>
      <c r="TRT102" s="450"/>
      <c r="TRU102" s="450"/>
      <c r="TRV102" s="450"/>
      <c r="TRW102" s="450"/>
      <c r="TRX102" s="450"/>
      <c r="TRY102" s="450"/>
      <c r="TRZ102" s="450"/>
      <c r="TSA102" s="450"/>
      <c r="TSB102" s="450"/>
      <c r="TSC102" s="450"/>
      <c r="TSD102" s="450"/>
      <c r="TSE102" s="450"/>
      <c r="TSF102" s="450"/>
      <c r="TSG102" s="450"/>
      <c r="TSH102" s="450"/>
      <c r="TSI102" s="450"/>
      <c r="TSJ102" s="450"/>
      <c r="TSK102" s="450"/>
      <c r="TSL102" s="450"/>
      <c r="TSM102" s="450"/>
      <c r="TSN102" s="450"/>
      <c r="TSO102" s="450"/>
      <c r="TSP102" s="450"/>
      <c r="TSQ102" s="450"/>
      <c r="TSR102" s="450"/>
      <c r="TSS102" s="450"/>
      <c r="TST102" s="450"/>
      <c r="TSU102" s="450"/>
      <c r="TSV102" s="450"/>
      <c r="TSW102" s="450"/>
      <c r="TSX102" s="450"/>
      <c r="TSY102" s="450"/>
      <c r="TSZ102" s="450"/>
      <c r="TTA102" s="450"/>
      <c r="TTB102" s="450"/>
      <c r="TTC102" s="450"/>
      <c r="TTD102" s="450"/>
      <c r="TTE102" s="450"/>
      <c r="TTF102" s="450"/>
      <c r="TTG102" s="450"/>
      <c r="TTH102" s="450"/>
      <c r="TTI102" s="450"/>
      <c r="TTJ102" s="450"/>
      <c r="TTK102" s="450"/>
      <c r="TTL102" s="450"/>
      <c r="TTM102" s="450"/>
      <c r="TTN102" s="450"/>
      <c r="TTO102" s="450"/>
      <c r="TTP102" s="450"/>
      <c r="TTQ102" s="450"/>
      <c r="TTR102" s="450"/>
      <c r="TTS102" s="450"/>
      <c r="TTT102" s="450"/>
      <c r="TTU102" s="450"/>
      <c r="TTV102" s="450"/>
      <c r="TTW102" s="450"/>
      <c r="TTX102" s="450"/>
      <c r="TTY102" s="450"/>
      <c r="TTZ102" s="450"/>
      <c r="TUA102" s="450"/>
      <c r="TUB102" s="450"/>
      <c r="TUC102" s="450"/>
      <c r="TUD102" s="450"/>
      <c r="TUE102" s="450"/>
      <c r="TUF102" s="450"/>
      <c r="TUG102" s="450"/>
      <c r="TUH102" s="450"/>
      <c r="TUI102" s="450"/>
      <c r="TUJ102" s="450"/>
      <c r="TUK102" s="450"/>
      <c r="TUL102" s="450"/>
      <c r="TUM102" s="450"/>
      <c r="TUN102" s="450"/>
      <c r="TUO102" s="450"/>
      <c r="TUP102" s="450"/>
      <c r="TUQ102" s="450"/>
      <c r="TUR102" s="450"/>
      <c r="TUS102" s="450"/>
      <c r="TUT102" s="450"/>
      <c r="TUU102" s="450"/>
      <c r="TUV102" s="450"/>
      <c r="TUW102" s="450"/>
      <c r="TUX102" s="450"/>
      <c r="TUY102" s="450"/>
      <c r="TUZ102" s="450"/>
      <c r="TVA102" s="450"/>
      <c r="TVB102" s="450"/>
      <c r="TVC102" s="450"/>
      <c r="TVD102" s="450"/>
      <c r="TVE102" s="450"/>
      <c r="TVF102" s="450"/>
      <c r="TVG102" s="450"/>
      <c r="TVH102" s="450"/>
      <c r="TVI102" s="450"/>
      <c r="TVJ102" s="450"/>
      <c r="TVK102" s="450"/>
      <c r="TVL102" s="450"/>
      <c r="TVM102" s="450"/>
      <c r="TVN102" s="450"/>
      <c r="TVO102" s="450"/>
      <c r="TVP102" s="450"/>
      <c r="TVQ102" s="450"/>
      <c r="TVR102" s="450"/>
      <c r="TVS102" s="450"/>
      <c r="TVT102" s="450"/>
      <c r="TVU102" s="450"/>
      <c r="TVV102" s="450"/>
      <c r="TVW102" s="450"/>
      <c r="TVX102" s="450"/>
      <c r="TVY102" s="450"/>
      <c r="TVZ102" s="450"/>
      <c r="TWA102" s="450"/>
      <c r="TWB102" s="450"/>
      <c r="TWC102" s="450"/>
      <c r="TWD102" s="450"/>
      <c r="TWE102" s="450"/>
      <c r="TWF102" s="450"/>
      <c r="TWG102" s="450"/>
      <c r="TWH102" s="450"/>
      <c r="TWI102" s="450"/>
      <c r="TWJ102" s="450"/>
      <c r="TWK102" s="450"/>
      <c r="TWL102" s="450"/>
      <c r="TWM102" s="450"/>
      <c r="TWN102" s="450"/>
      <c r="TWO102" s="450"/>
      <c r="TWP102" s="450"/>
      <c r="TWQ102" s="450"/>
      <c r="TWR102" s="450"/>
      <c r="TWS102" s="450"/>
      <c r="TWT102" s="450"/>
      <c r="TWU102" s="450"/>
      <c r="TWV102" s="450"/>
      <c r="TWW102" s="450"/>
      <c r="TWX102" s="450"/>
      <c r="TWY102" s="450"/>
      <c r="TWZ102" s="450"/>
      <c r="TXA102" s="450"/>
      <c r="TXB102" s="450"/>
      <c r="TXC102" s="450"/>
      <c r="TXD102" s="450"/>
      <c r="TXE102" s="450"/>
      <c r="TXF102" s="450"/>
      <c r="TXG102" s="450"/>
      <c r="TXH102" s="450"/>
      <c r="TXI102" s="450"/>
      <c r="TXJ102" s="450"/>
      <c r="TXK102" s="450"/>
      <c r="TXL102" s="450"/>
      <c r="TXM102" s="450"/>
      <c r="TXN102" s="450"/>
      <c r="TXO102" s="450"/>
      <c r="TXP102" s="450"/>
      <c r="TXQ102" s="450"/>
      <c r="TXR102" s="450"/>
      <c r="TXS102" s="450"/>
      <c r="TXT102" s="450"/>
      <c r="TXU102" s="450"/>
      <c r="TXV102" s="450"/>
      <c r="TXW102" s="450"/>
      <c r="TXX102" s="450"/>
      <c r="TXY102" s="450"/>
      <c r="TXZ102" s="450"/>
      <c r="TYA102" s="450"/>
      <c r="TYB102" s="450"/>
      <c r="TYC102" s="450"/>
      <c r="TYD102" s="450"/>
      <c r="TYE102" s="450"/>
      <c r="TYF102" s="450"/>
      <c r="TYG102" s="450"/>
      <c r="TYH102" s="450"/>
      <c r="TYI102" s="450"/>
      <c r="TYJ102" s="450"/>
      <c r="TYK102" s="450"/>
      <c r="TYL102" s="450"/>
      <c r="TYM102" s="450"/>
      <c r="TYN102" s="450"/>
      <c r="TYO102" s="450"/>
      <c r="TYP102" s="450"/>
      <c r="TYQ102" s="450"/>
      <c r="TYR102" s="450"/>
      <c r="TYS102" s="450"/>
      <c r="TYT102" s="450"/>
      <c r="TYU102" s="450"/>
      <c r="TYV102" s="450"/>
      <c r="TYW102" s="450"/>
      <c r="TYX102" s="450"/>
      <c r="TYY102" s="450"/>
      <c r="TYZ102" s="450"/>
      <c r="TZA102" s="450"/>
      <c r="TZB102" s="450"/>
      <c r="TZC102" s="450"/>
      <c r="TZD102" s="450"/>
      <c r="TZE102" s="450"/>
      <c r="TZF102" s="450"/>
      <c r="TZG102" s="450"/>
      <c r="TZH102" s="450"/>
      <c r="TZI102" s="450"/>
      <c r="TZJ102" s="450"/>
      <c r="TZK102" s="450"/>
      <c r="TZL102" s="450"/>
      <c r="TZM102" s="450"/>
      <c r="TZN102" s="450"/>
      <c r="TZO102" s="450"/>
      <c r="TZP102" s="450"/>
      <c r="TZQ102" s="450"/>
      <c r="TZR102" s="450"/>
      <c r="TZS102" s="450"/>
      <c r="TZT102" s="450"/>
      <c r="TZU102" s="450"/>
      <c r="TZV102" s="450"/>
      <c r="TZW102" s="450"/>
      <c r="TZX102" s="450"/>
      <c r="TZY102" s="450"/>
      <c r="TZZ102" s="450"/>
      <c r="UAA102" s="450"/>
      <c r="UAB102" s="450"/>
      <c r="UAC102" s="450"/>
      <c r="UAD102" s="450"/>
      <c r="UAE102" s="450"/>
      <c r="UAF102" s="450"/>
      <c r="UAG102" s="450"/>
      <c r="UAH102" s="450"/>
      <c r="UAI102" s="450"/>
      <c r="UAJ102" s="450"/>
      <c r="UAK102" s="450"/>
      <c r="UAL102" s="450"/>
      <c r="UAM102" s="450"/>
      <c r="UAN102" s="450"/>
      <c r="UAO102" s="450"/>
      <c r="UAP102" s="450"/>
      <c r="UAQ102" s="450"/>
      <c r="UAR102" s="450"/>
      <c r="UAS102" s="450"/>
      <c r="UAT102" s="450"/>
      <c r="UAU102" s="450"/>
      <c r="UAV102" s="450"/>
      <c r="UAW102" s="450"/>
      <c r="UAX102" s="450"/>
      <c r="UAY102" s="450"/>
      <c r="UAZ102" s="450"/>
      <c r="UBA102" s="450"/>
      <c r="UBB102" s="450"/>
      <c r="UBC102" s="450"/>
      <c r="UBD102" s="450"/>
      <c r="UBE102" s="450"/>
      <c r="UBF102" s="450"/>
      <c r="UBG102" s="450"/>
      <c r="UBH102" s="450"/>
      <c r="UBI102" s="450"/>
      <c r="UBJ102" s="450"/>
      <c r="UBK102" s="450"/>
      <c r="UBL102" s="450"/>
      <c r="UBM102" s="450"/>
      <c r="UBN102" s="450"/>
      <c r="UBO102" s="450"/>
      <c r="UBP102" s="450"/>
      <c r="UBQ102" s="450"/>
      <c r="UBR102" s="450"/>
      <c r="UBS102" s="450"/>
      <c r="UBT102" s="450"/>
      <c r="UBU102" s="450"/>
      <c r="UBV102" s="450"/>
      <c r="UBW102" s="450"/>
      <c r="UBX102" s="450"/>
      <c r="UBY102" s="450"/>
      <c r="UBZ102" s="450"/>
      <c r="UCA102" s="450"/>
      <c r="UCB102" s="450"/>
      <c r="UCC102" s="450"/>
      <c r="UCD102" s="450"/>
      <c r="UCE102" s="450"/>
      <c r="UCF102" s="450"/>
      <c r="UCG102" s="450"/>
      <c r="UCH102" s="450"/>
      <c r="UCI102" s="450"/>
      <c r="UCJ102" s="450"/>
      <c r="UCK102" s="450"/>
      <c r="UCL102" s="450"/>
      <c r="UCM102" s="450"/>
      <c r="UCN102" s="450"/>
      <c r="UCO102" s="450"/>
      <c r="UCP102" s="450"/>
      <c r="UCQ102" s="450"/>
      <c r="UCR102" s="450"/>
      <c r="UCS102" s="450"/>
      <c r="UCT102" s="450"/>
      <c r="UCU102" s="450"/>
      <c r="UCV102" s="450"/>
      <c r="UCW102" s="450"/>
      <c r="UCX102" s="450"/>
      <c r="UCY102" s="450"/>
      <c r="UCZ102" s="450"/>
      <c r="UDA102" s="450"/>
      <c r="UDB102" s="450"/>
      <c r="UDC102" s="450"/>
      <c r="UDD102" s="450"/>
      <c r="UDE102" s="450"/>
      <c r="UDF102" s="450"/>
      <c r="UDG102" s="450"/>
      <c r="UDH102" s="450"/>
      <c r="UDI102" s="450"/>
      <c r="UDJ102" s="450"/>
      <c r="UDK102" s="450"/>
      <c r="UDL102" s="450"/>
      <c r="UDM102" s="450"/>
      <c r="UDN102" s="450"/>
      <c r="UDO102" s="450"/>
      <c r="UDP102" s="450"/>
      <c r="UDQ102" s="450"/>
      <c r="UDR102" s="450"/>
      <c r="UDS102" s="450"/>
      <c r="UDT102" s="450"/>
      <c r="UDU102" s="450"/>
      <c r="UDV102" s="450"/>
      <c r="UDW102" s="450"/>
      <c r="UDX102" s="450"/>
      <c r="UDY102" s="450"/>
      <c r="UDZ102" s="450"/>
      <c r="UEA102" s="450"/>
      <c r="UEB102" s="450"/>
      <c r="UEC102" s="450"/>
      <c r="UED102" s="450"/>
      <c r="UEE102" s="450"/>
      <c r="UEF102" s="450"/>
      <c r="UEG102" s="450"/>
      <c r="UEH102" s="450"/>
      <c r="UEI102" s="450"/>
      <c r="UEJ102" s="450"/>
      <c r="UEK102" s="450"/>
      <c r="UEL102" s="450"/>
      <c r="UEM102" s="450"/>
      <c r="UEN102" s="450"/>
      <c r="UEO102" s="450"/>
      <c r="UEP102" s="450"/>
      <c r="UEQ102" s="450"/>
      <c r="UER102" s="450"/>
      <c r="UES102" s="450"/>
      <c r="UET102" s="450"/>
      <c r="UEU102" s="450"/>
      <c r="UEV102" s="450"/>
      <c r="UEW102" s="450"/>
      <c r="UEX102" s="450"/>
      <c r="UEY102" s="450"/>
      <c r="UEZ102" s="450"/>
      <c r="UFA102" s="450"/>
      <c r="UFB102" s="450"/>
      <c r="UFC102" s="450"/>
      <c r="UFD102" s="450"/>
      <c r="UFE102" s="450"/>
      <c r="UFF102" s="450"/>
      <c r="UFG102" s="450"/>
      <c r="UFH102" s="450"/>
      <c r="UFI102" s="450"/>
      <c r="UFJ102" s="450"/>
      <c r="UFK102" s="450"/>
      <c r="UFL102" s="450"/>
      <c r="UFM102" s="450"/>
      <c r="UFN102" s="450"/>
      <c r="UFO102" s="450"/>
      <c r="UFP102" s="450"/>
      <c r="UFQ102" s="450"/>
      <c r="UFR102" s="450"/>
      <c r="UFS102" s="450"/>
      <c r="UFT102" s="450"/>
      <c r="UFU102" s="450"/>
      <c r="UFV102" s="450"/>
      <c r="UFW102" s="450"/>
      <c r="UFX102" s="450"/>
      <c r="UFY102" s="450"/>
      <c r="UFZ102" s="450"/>
      <c r="UGA102" s="450"/>
      <c r="UGB102" s="450"/>
      <c r="UGC102" s="450"/>
      <c r="UGD102" s="450"/>
      <c r="UGE102" s="450"/>
      <c r="UGF102" s="450"/>
      <c r="UGG102" s="450"/>
      <c r="UGH102" s="450"/>
      <c r="UGI102" s="450"/>
      <c r="UGJ102" s="450"/>
      <c r="UGK102" s="450"/>
      <c r="UGL102" s="450"/>
      <c r="UGM102" s="450"/>
      <c r="UGN102" s="450"/>
      <c r="UGO102" s="450"/>
      <c r="UGP102" s="450"/>
      <c r="UGQ102" s="450"/>
      <c r="UGR102" s="450"/>
      <c r="UGS102" s="450"/>
      <c r="UGT102" s="450"/>
      <c r="UGU102" s="450"/>
      <c r="UGV102" s="450"/>
      <c r="UGW102" s="450"/>
      <c r="UGX102" s="450"/>
      <c r="UGY102" s="450"/>
      <c r="UGZ102" s="450"/>
      <c r="UHA102" s="450"/>
      <c r="UHB102" s="450"/>
      <c r="UHC102" s="450"/>
      <c r="UHD102" s="450"/>
      <c r="UHE102" s="450"/>
      <c r="UHF102" s="450"/>
      <c r="UHG102" s="450"/>
      <c r="UHH102" s="450"/>
      <c r="UHI102" s="450"/>
      <c r="UHJ102" s="450"/>
      <c r="UHK102" s="450"/>
      <c r="UHL102" s="450"/>
      <c r="UHM102" s="450"/>
      <c r="UHN102" s="450"/>
      <c r="UHO102" s="450"/>
      <c r="UHP102" s="450"/>
      <c r="UHQ102" s="450"/>
      <c r="UHR102" s="450"/>
      <c r="UHS102" s="450"/>
      <c r="UHT102" s="450"/>
      <c r="UHU102" s="450"/>
      <c r="UHV102" s="450"/>
      <c r="UHW102" s="450"/>
      <c r="UHX102" s="450"/>
      <c r="UHY102" s="450"/>
      <c r="UHZ102" s="450"/>
      <c r="UIA102" s="450"/>
      <c r="UIB102" s="450"/>
      <c r="UIC102" s="450"/>
      <c r="UID102" s="450"/>
      <c r="UIE102" s="450"/>
      <c r="UIF102" s="450"/>
      <c r="UIG102" s="450"/>
      <c r="UIH102" s="450"/>
      <c r="UII102" s="450"/>
      <c r="UIJ102" s="450"/>
      <c r="UIK102" s="450"/>
      <c r="UIL102" s="450"/>
      <c r="UIM102" s="450"/>
      <c r="UIN102" s="450"/>
      <c r="UIO102" s="450"/>
      <c r="UIP102" s="450"/>
      <c r="UIQ102" s="450"/>
      <c r="UIR102" s="450"/>
      <c r="UIS102" s="450"/>
      <c r="UIT102" s="450"/>
      <c r="UIU102" s="450"/>
      <c r="UIV102" s="450"/>
      <c r="UIW102" s="450"/>
      <c r="UIX102" s="450"/>
      <c r="UIY102" s="450"/>
      <c r="UIZ102" s="450"/>
      <c r="UJA102" s="450"/>
      <c r="UJB102" s="450"/>
      <c r="UJC102" s="450"/>
      <c r="UJD102" s="450"/>
      <c r="UJE102" s="450"/>
      <c r="UJF102" s="450"/>
      <c r="UJG102" s="450"/>
      <c r="UJH102" s="450"/>
      <c r="UJI102" s="450"/>
      <c r="UJJ102" s="450"/>
      <c r="UJK102" s="450"/>
      <c r="UJL102" s="450"/>
      <c r="UJM102" s="450"/>
      <c r="UJN102" s="450"/>
      <c r="UJO102" s="450"/>
      <c r="UJP102" s="450"/>
      <c r="UJQ102" s="450"/>
      <c r="UJR102" s="450"/>
      <c r="UJS102" s="450"/>
      <c r="UJT102" s="450"/>
      <c r="UJU102" s="450"/>
      <c r="UJV102" s="450"/>
      <c r="UJW102" s="450"/>
      <c r="UJX102" s="450"/>
      <c r="UJY102" s="450"/>
      <c r="UJZ102" s="450"/>
      <c r="UKA102" s="450"/>
      <c r="UKB102" s="450"/>
      <c r="UKC102" s="450"/>
      <c r="UKD102" s="450"/>
      <c r="UKE102" s="450"/>
      <c r="UKF102" s="450"/>
      <c r="UKG102" s="450"/>
      <c r="UKH102" s="450"/>
      <c r="UKI102" s="450"/>
      <c r="UKJ102" s="450"/>
      <c r="UKK102" s="450"/>
      <c r="UKL102" s="450"/>
      <c r="UKM102" s="450"/>
      <c r="UKN102" s="450"/>
      <c r="UKO102" s="450"/>
      <c r="UKP102" s="450"/>
      <c r="UKQ102" s="450"/>
      <c r="UKR102" s="450"/>
      <c r="UKS102" s="450"/>
      <c r="UKT102" s="450"/>
      <c r="UKU102" s="450"/>
      <c r="UKV102" s="450"/>
      <c r="UKW102" s="450"/>
      <c r="UKX102" s="450"/>
      <c r="UKY102" s="450"/>
      <c r="UKZ102" s="450"/>
      <c r="ULA102" s="450"/>
      <c r="ULB102" s="450"/>
      <c r="ULC102" s="450"/>
      <c r="ULD102" s="450"/>
      <c r="ULE102" s="450"/>
      <c r="ULF102" s="450"/>
      <c r="ULG102" s="450"/>
      <c r="ULH102" s="450"/>
      <c r="ULI102" s="450"/>
      <c r="ULJ102" s="450"/>
      <c r="ULK102" s="450"/>
      <c r="ULL102" s="450"/>
      <c r="ULM102" s="450"/>
      <c r="ULN102" s="450"/>
      <c r="ULO102" s="450"/>
      <c r="ULP102" s="450"/>
      <c r="ULQ102" s="450"/>
      <c r="ULR102" s="450"/>
      <c r="ULS102" s="450"/>
      <c r="ULT102" s="450"/>
      <c r="ULU102" s="450"/>
      <c r="ULV102" s="450"/>
      <c r="ULW102" s="450"/>
      <c r="ULX102" s="450"/>
      <c r="ULY102" s="450"/>
      <c r="ULZ102" s="450"/>
      <c r="UMA102" s="450"/>
      <c r="UMB102" s="450"/>
      <c r="UMC102" s="450"/>
      <c r="UMD102" s="450"/>
      <c r="UME102" s="450"/>
      <c r="UMF102" s="450"/>
      <c r="UMG102" s="450"/>
      <c r="UMH102" s="450"/>
      <c r="UMI102" s="450"/>
      <c r="UMJ102" s="450"/>
      <c r="UMK102" s="450"/>
      <c r="UML102" s="450"/>
      <c r="UMM102" s="450"/>
      <c r="UMN102" s="450"/>
      <c r="UMO102" s="450"/>
      <c r="UMP102" s="450"/>
      <c r="UMQ102" s="450"/>
      <c r="UMR102" s="450"/>
      <c r="UMS102" s="450"/>
      <c r="UMT102" s="450"/>
      <c r="UMU102" s="450"/>
      <c r="UMV102" s="450"/>
      <c r="UMW102" s="450"/>
      <c r="UMX102" s="450"/>
      <c r="UMY102" s="450"/>
      <c r="UMZ102" s="450"/>
      <c r="UNA102" s="450"/>
      <c r="UNB102" s="450"/>
      <c r="UNC102" s="450"/>
      <c r="UND102" s="450"/>
      <c r="UNE102" s="450"/>
      <c r="UNF102" s="450"/>
      <c r="UNG102" s="450"/>
      <c r="UNH102" s="450"/>
      <c r="UNI102" s="450"/>
      <c r="UNJ102" s="450"/>
      <c r="UNK102" s="450"/>
      <c r="UNL102" s="450"/>
      <c r="UNM102" s="450"/>
      <c r="UNN102" s="450"/>
      <c r="UNO102" s="450"/>
      <c r="UNP102" s="450"/>
      <c r="UNQ102" s="450"/>
      <c r="UNR102" s="450"/>
      <c r="UNS102" s="450"/>
      <c r="UNT102" s="450"/>
      <c r="UNU102" s="450"/>
      <c r="UNV102" s="450"/>
      <c r="UNW102" s="450"/>
      <c r="UNX102" s="450"/>
      <c r="UNY102" s="450"/>
      <c r="UNZ102" s="450"/>
      <c r="UOA102" s="450"/>
      <c r="UOB102" s="450"/>
      <c r="UOC102" s="450"/>
      <c r="UOD102" s="450"/>
      <c r="UOE102" s="450"/>
      <c r="UOF102" s="450"/>
      <c r="UOG102" s="450"/>
      <c r="UOH102" s="450"/>
      <c r="UOI102" s="450"/>
      <c r="UOJ102" s="450"/>
      <c r="UOK102" s="450"/>
      <c r="UOL102" s="450"/>
      <c r="UOM102" s="450"/>
      <c r="UON102" s="450"/>
      <c r="UOO102" s="450"/>
      <c r="UOP102" s="450"/>
      <c r="UOQ102" s="450"/>
      <c r="UOR102" s="450"/>
      <c r="UOS102" s="450"/>
      <c r="UOT102" s="450"/>
      <c r="UOU102" s="450"/>
      <c r="UOV102" s="450"/>
      <c r="UOW102" s="450"/>
      <c r="UOX102" s="450"/>
      <c r="UOY102" s="450"/>
      <c r="UOZ102" s="450"/>
      <c r="UPA102" s="450"/>
      <c r="UPB102" s="450"/>
      <c r="UPC102" s="450"/>
      <c r="UPD102" s="450"/>
      <c r="UPE102" s="450"/>
      <c r="UPF102" s="450"/>
      <c r="UPG102" s="450"/>
      <c r="UPH102" s="450"/>
      <c r="UPI102" s="450"/>
      <c r="UPJ102" s="450"/>
      <c r="UPK102" s="450"/>
      <c r="UPL102" s="450"/>
      <c r="UPM102" s="450"/>
      <c r="UPN102" s="450"/>
      <c r="UPO102" s="450"/>
      <c r="UPP102" s="450"/>
      <c r="UPQ102" s="450"/>
      <c r="UPR102" s="450"/>
      <c r="UPS102" s="450"/>
      <c r="UPT102" s="450"/>
      <c r="UPU102" s="450"/>
      <c r="UPV102" s="450"/>
      <c r="UPW102" s="450"/>
      <c r="UPX102" s="450"/>
      <c r="UPY102" s="450"/>
      <c r="UPZ102" s="450"/>
      <c r="UQA102" s="450"/>
      <c r="UQB102" s="450"/>
      <c r="UQC102" s="450"/>
      <c r="UQD102" s="450"/>
      <c r="UQE102" s="450"/>
      <c r="UQF102" s="450"/>
      <c r="UQG102" s="450"/>
      <c r="UQH102" s="450"/>
      <c r="UQI102" s="450"/>
      <c r="UQJ102" s="450"/>
      <c r="UQK102" s="450"/>
      <c r="UQL102" s="450"/>
      <c r="UQM102" s="450"/>
      <c r="UQN102" s="450"/>
      <c r="UQO102" s="450"/>
      <c r="UQP102" s="450"/>
      <c r="UQQ102" s="450"/>
      <c r="UQR102" s="450"/>
      <c r="UQS102" s="450"/>
      <c r="UQT102" s="450"/>
      <c r="UQU102" s="450"/>
      <c r="UQV102" s="450"/>
      <c r="UQW102" s="450"/>
      <c r="UQX102" s="450"/>
      <c r="UQY102" s="450"/>
      <c r="UQZ102" s="450"/>
      <c r="URA102" s="450"/>
      <c r="URB102" s="450"/>
      <c r="URC102" s="450"/>
      <c r="URD102" s="450"/>
      <c r="URE102" s="450"/>
      <c r="URF102" s="450"/>
      <c r="URG102" s="450"/>
      <c r="URH102" s="450"/>
      <c r="URI102" s="450"/>
      <c r="URJ102" s="450"/>
      <c r="URK102" s="450"/>
      <c r="URL102" s="450"/>
      <c r="URM102" s="450"/>
      <c r="URN102" s="450"/>
      <c r="URO102" s="450"/>
      <c r="URP102" s="450"/>
      <c r="URQ102" s="450"/>
      <c r="URR102" s="450"/>
      <c r="URS102" s="450"/>
      <c r="URT102" s="450"/>
      <c r="URU102" s="450"/>
      <c r="URV102" s="450"/>
      <c r="URW102" s="450"/>
      <c r="URX102" s="450"/>
      <c r="URY102" s="450"/>
      <c r="URZ102" s="450"/>
      <c r="USA102" s="450"/>
      <c r="USB102" s="450"/>
      <c r="USC102" s="450"/>
      <c r="USD102" s="450"/>
      <c r="USE102" s="450"/>
      <c r="USF102" s="450"/>
      <c r="USG102" s="450"/>
      <c r="USH102" s="450"/>
      <c r="USI102" s="450"/>
      <c r="USJ102" s="450"/>
      <c r="USK102" s="450"/>
      <c r="USL102" s="450"/>
      <c r="USM102" s="450"/>
      <c r="USN102" s="450"/>
      <c r="USO102" s="450"/>
      <c r="USP102" s="450"/>
      <c r="USQ102" s="450"/>
      <c r="USR102" s="450"/>
      <c r="USS102" s="450"/>
      <c r="UST102" s="450"/>
      <c r="USU102" s="450"/>
      <c r="USV102" s="450"/>
      <c r="USW102" s="450"/>
      <c r="USX102" s="450"/>
      <c r="USY102" s="450"/>
      <c r="USZ102" s="450"/>
      <c r="UTA102" s="450"/>
      <c r="UTB102" s="450"/>
      <c r="UTC102" s="450"/>
      <c r="UTD102" s="450"/>
      <c r="UTE102" s="450"/>
      <c r="UTF102" s="450"/>
      <c r="UTG102" s="450"/>
      <c r="UTH102" s="450"/>
      <c r="UTI102" s="450"/>
      <c r="UTJ102" s="450"/>
      <c r="UTK102" s="450"/>
      <c r="UTL102" s="450"/>
      <c r="UTM102" s="450"/>
      <c r="UTN102" s="450"/>
      <c r="UTO102" s="450"/>
      <c r="UTP102" s="450"/>
      <c r="UTQ102" s="450"/>
      <c r="UTR102" s="450"/>
      <c r="UTS102" s="450"/>
      <c r="UTT102" s="450"/>
      <c r="UTU102" s="450"/>
      <c r="UTV102" s="450"/>
      <c r="UTW102" s="450"/>
      <c r="UTX102" s="450"/>
      <c r="UTY102" s="450"/>
      <c r="UTZ102" s="450"/>
      <c r="UUA102" s="450"/>
      <c r="UUB102" s="450"/>
      <c r="UUC102" s="450"/>
      <c r="UUD102" s="450"/>
      <c r="UUE102" s="450"/>
      <c r="UUF102" s="450"/>
      <c r="UUG102" s="450"/>
      <c r="UUH102" s="450"/>
      <c r="UUI102" s="450"/>
      <c r="UUJ102" s="450"/>
      <c r="UUK102" s="450"/>
      <c r="UUL102" s="450"/>
      <c r="UUM102" s="450"/>
      <c r="UUN102" s="450"/>
      <c r="UUO102" s="450"/>
      <c r="UUP102" s="450"/>
      <c r="UUQ102" s="450"/>
      <c r="UUR102" s="450"/>
      <c r="UUS102" s="450"/>
      <c r="UUT102" s="450"/>
      <c r="UUU102" s="450"/>
      <c r="UUV102" s="450"/>
      <c r="UUW102" s="450"/>
      <c r="UUX102" s="450"/>
      <c r="UUY102" s="450"/>
      <c r="UUZ102" s="450"/>
      <c r="UVA102" s="450"/>
      <c r="UVB102" s="450"/>
      <c r="UVC102" s="450"/>
      <c r="UVD102" s="450"/>
      <c r="UVE102" s="450"/>
      <c r="UVF102" s="450"/>
      <c r="UVG102" s="450"/>
      <c r="UVH102" s="450"/>
      <c r="UVI102" s="450"/>
      <c r="UVJ102" s="450"/>
      <c r="UVK102" s="450"/>
      <c r="UVL102" s="450"/>
      <c r="UVM102" s="450"/>
      <c r="UVN102" s="450"/>
      <c r="UVO102" s="450"/>
      <c r="UVP102" s="450"/>
      <c r="UVQ102" s="450"/>
      <c r="UVR102" s="450"/>
      <c r="UVS102" s="450"/>
      <c r="UVT102" s="450"/>
      <c r="UVU102" s="450"/>
      <c r="UVV102" s="450"/>
      <c r="UVW102" s="450"/>
      <c r="UVX102" s="450"/>
      <c r="UVY102" s="450"/>
      <c r="UVZ102" s="450"/>
      <c r="UWA102" s="450"/>
      <c r="UWB102" s="450"/>
      <c r="UWC102" s="450"/>
      <c r="UWD102" s="450"/>
      <c r="UWE102" s="450"/>
      <c r="UWF102" s="450"/>
      <c r="UWG102" s="450"/>
      <c r="UWH102" s="450"/>
      <c r="UWI102" s="450"/>
      <c r="UWJ102" s="450"/>
      <c r="UWK102" s="450"/>
      <c r="UWL102" s="450"/>
      <c r="UWM102" s="450"/>
      <c r="UWN102" s="450"/>
      <c r="UWO102" s="450"/>
      <c r="UWP102" s="450"/>
      <c r="UWQ102" s="450"/>
      <c r="UWR102" s="450"/>
      <c r="UWS102" s="450"/>
      <c r="UWT102" s="450"/>
      <c r="UWU102" s="450"/>
      <c r="UWV102" s="450"/>
      <c r="UWW102" s="450"/>
      <c r="UWX102" s="450"/>
      <c r="UWY102" s="450"/>
      <c r="UWZ102" s="450"/>
      <c r="UXA102" s="450"/>
      <c r="UXB102" s="450"/>
      <c r="UXC102" s="450"/>
      <c r="UXD102" s="450"/>
      <c r="UXE102" s="450"/>
      <c r="UXF102" s="450"/>
      <c r="UXG102" s="450"/>
      <c r="UXH102" s="450"/>
      <c r="UXI102" s="450"/>
      <c r="UXJ102" s="450"/>
      <c r="UXK102" s="450"/>
      <c r="UXL102" s="450"/>
      <c r="UXM102" s="450"/>
      <c r="UXN102" s="450"/>
      <c r="UXO102" s="450"/>
      <c r="UXP102" s="450"/>
      <c r="UXQ102" s="450"/>
      <c r="UXR102" s="450"/>
      <c r="UXS102" s="450"/>
      <c r="UXT102" s="450"/>
      <c r="UXU102" s="450"/>
      <c r="UXV102" s="450"/>
      <c r="UXW102" s="450"/>
      <c r="UXX102" s="450"/>
      <c r="UXY102" s="450"/>
      <c r="UXZ102" s="450"/>
      <c r="UYA102" s="450"/>
      <c r="UYB102" s="450"/>
      <c r="UYC102" s="450"/>
      <c r="UYD102" s="450"/>
      <c r="UYE102" s="450"/>
      <c r="UYF102" s="450"/>
      <c r="UYG102" s="450"/>
      <c r="UYH102" s="450"/>
      <c r="UYI102" s="450"/>
      <c r="UYJ102" s="450"/>
      <c r="UYK102" s="450"/>
      <c r="UYL102" s="450"/>
      <c r="UYM102" s="450"/>
      <c r="UYN102" s="450"/>
      <c r="UYO102" s="450"/>
      <c r="UYP102" s="450"/>
      <c r="UYQ102" s="450"/>
      <c r="UYR102" s="450"/>
      <c r="UYS102" s="450"/>
      <c r="UYT102" s="450"/>
      <c r="UYU102" s="450"/>
      <c r="UYV102" s="450"/>
      <c r="UYW102" s="450"/>
      <c r="UYX102" s="450"/>
      <c r="UYY102" s="450"/>
      <c r="UYZ102" s="450"/>
      <c r="UZA102" s="450"/>
      <c r="UZB102" s="450"/>
      <c r="UZC102" s="450"/>
      <c r="UZD102" s="450"/>
      <c r="UZE102" s="450"/>
      <c r="UZF102" s="450"/>
      <c r="UZG102" s="450"/>
      <c r="UZH102" s="450"/>
      <c r="UZI102" s="450"/>
      <c r="UZJ102" s="450"/>
      <c r="UZK102" s="450"/>
      <c r="UZL102" s="450"/>
      <c r="UZM102" s="450"/>
      <c r="UZN102" s="450"/>
      <c r="UZO102" s="450"/>
      <c r="UZP102" s="450"/>
      <c r="UZQ102" s="450"/>
      <c r="UZR102" s="450"/>
      <c r="UZS102" s="450"/>
      <c r="UZT102" s="450"/>
      <c r="UZU102" s="450"/>
      <c r="UZV102" s="450"/>
      <c r="UZW102" s="450"/>
      <c r="UZX102" s="450"/>
      <c r="UZY102" s="450"/>
      <c r="UZZ102" s="450"/>
      <c r="VAA102" s="450"/>
      <c r="VAB102" s="450"/>
      <c r="VAC102" s="450"/>
      <c r="VAD102" s="450"/>
      <c r="VAE102" s="450"/>
      <c r="VAF102" s="450"/>
      <c r="VAG102" s="450"/>
      <c r="VAH102" s="450"/>
      <c r="VAI102" s="450"/>
      <c r="VAJ102" s="450"/>
      <c r="VAK102" s="450"/>
      <c r="VAL102" s="450"/>
      <c r="VAM102" s="450"/>
      <c r="VAN102" s="450"/>
      <c r="VAO102" s="450"/>
      <c r="VAP102" s="450"/>
      <c r="VAQ102" s="450"/>
      <c r="VAR102" s="450"/>
      <c r="VAS102" s="450"/>
      <c r="VAT102" s="450"/>
      <c r="VAU102" s="450"/>
      <c r="VAV102" s="450"/>
      <c r="VAW102" s="450"/>
      <c r="VAX102" s="450"/>
      <c r="VAY102" s="450"/>
      <c r="VAZ102" s="450"/>
      <c r="VBA102" s="450"/>
      <c r="VBB102" s="450"/>
      <c r="VBC102" s="450"/>
      <c r="VBD102" s="450"/>
      <c r="VBE102" s="450"/>
      <c r="VBF102" s="450"/>
      <c r="VBG102" s="450"/>
      <c r="VBH102" s="450"/>
      <c r="VBI102" s="450"/>
      <c r="VBJ102" s="450"/>
      <c r="VBK102" s="450"/>
      <c r="VBL102" s="450"/>
      <c r="VBM102" s="450"/>
      <c r="VBN102" s="450"/>
      <c r="VBO102" s="450"/>
      <c r="VBP102" s="450"/>
      <c r="VBQ102" s="450"/>
      <c r="VBR102" s="450"/>
      <c r="VBS102" s="450"/>
      <c r="VBT102" s="450"/>
      <c r="VBU102" s="450"/>
      <c r="VBV102" s="450"/>
      <c r="VBW102" s="450"/>
      <c r="VBX102" s="450"/>
      <c r="VBY102" s="450"/>
      <c r="VBZ102" s="450"/>
      <c r="VCA102" s="450"/>
      <c r="VCB102" s="450"/>
      <c r="VCC102" s="450"/>
      <c r="VCD102" s="450"/>
      <c r="VCE102" s="450"/>
      <c r="VCF102" s="450"/>
      <c r="VCG102" s="450"/>
      <c r="VCH102" s="450"/>
      <c r="VCI102" s="450"/>
      <c r="VCJ102" s="450"/>
      <c r="VCK102" s="450"/>
      <c r="VCL102" s="450"/>
      <c r="VCM102" s="450"/>
      <c r="VCN102" s="450"/>
      <c r="VCO102" s="450"/>
      <c r="VCP102" s="450"/>
      <c r="VCQ102" s="450"/>
      <c r="VCR102" s="450"/>
      <c r="VCS102" s="450"/>
      <c r="VCT102" s="450"/>
      <c r="VCU102" s="450"/>
      <c r="VCV102" s="450"/>
      <c r="VCW102" s="450"/>
      <c r="VCX102" s="450"/>
      <c r="VCY102" s="450"/>
      <c r="VCZ102" s="450"/>
      <c r="VDA102" s="450"/>
      <c r="VDB102" s="450"/>
      <c r="VDC102" s="450"/>
      <c r="VDD102" s="450"/>
      <c r="VDE102" s="450"/>
      <c r="VDF102" s="450"/>
      <c r="VDG102" s="450"/>
      <c r="VDH102" s="450"/>
      <c r="VDI102" s="450"/>
      <c r="VDJ102" s="450"/>
      <c r="VDK102" s="450"/>
      <c r="VDL102" s="450"/>
      <c r="VDM102" s="450"/>
      <c r="VDN102" s="450"/>
      <c r="VDO102" s="450"/>
      <c r="VDP102" s="450"/>
      <c r="VDQ102" s="450"/>
      <c r="VDR102" s="450"/>
      <c r="VDS102" s="450"/>
      <c r="VDT102" s="450"/>
      <c r="VDU102" s="450"/>
      <c r="VDV102" s="450"/>
      <c r="VDW102" s="450"/>
      <c r="VDX102" s="450"/>
      <c r="VDY102" s="450"/>
      <c r="VDZ102" s="450"/>
      <c r="VEA102" s="450"/>
      <c r="VEB102" s="450"/>
      <c r="VEC102" s="450"/>
      <c r="VED102" s="450"/>
      <c r="VEE102" s="450"/>
      <c r="VEF102" s="450"/>
      <c r="VEG102" s="450"/>
      <c r="VEH102" s="450"/>
      <c r="VEI102" s="450"/>
      <c r="VEJ102" s="450"/>
      <c r="VEK102" s="450"/>
      <c r="VEL102" s="450"/>
      <c r="VEM102" s="450"/>
      <c r="VEN102" s="450"/>
      <c r="VEO102" s="450"/>
      <c r="VEP102" s="450"/>
      <c r="VEQ102" s="450"/>
      <c r="VER102" s="450"/>
      <c r="VES102" s="450"/>
      <c r="VET102" s="450"/>
      <c r="VEU102" s="450"/>
      <c r="VEV102" s="450"/>
      <c r="VEW102" s="450"/>
      <c r="VEX102" s="450"/>
      <c r="VEY102" s="450"/>
      <c r="VEZ102" s="450"/>
      <c r="VFA102" s="450"/>
      <c r="VFB102" s="450"/>
      <c r="VFC102" s="450"/>
      <c r="VFD102" s="450"/>
      <c r="VFE102" s="450"/>
      <c r="VFF102" s="450"/>
      <c r="VFG102" s="450"/>
      <c r="VFH102" s="450"/>
      <c r="VFI102" s="450"/>
      <c r="VFJ102" s="450"/>
      <c r="VFK102" s="450"/>
      <c r="VFL102" s="450"/>
      <c r="VFM102" s="450"/>
      <c r="VFN102" s="450"/>
      <c r="VFO102" s="450"/>
      <c r="VFP102" s="450"/>
      <c r="VFQ102" s="450"/>
      <c r="VFR102" s="450"/>
      <c r="VFS102" s="450"/>
      <c r="VFT102" s="450"/>
      <c r="VFU102" s="450"/>
      <c r="VFV102" s="450"/>
      <c r="VFW102" s="450"/>
      <c r="VFX102" s="450"/>
      <c r="VFY102" s="450"/>
      <c r="VFZ102" s="450"/>
      <c r="VGA102" s="450"/>
      <c r="VGB102" s="450"/>
      <c r="VGC102" s="450"/>
      <c r="VGD102" s="450"/>
      <c r="VGE102" s="450"/>
      <c r="VGF102" s="450"/>
      <c r="VGG102" s="450"/>
      <c r="VGH102" s="450"/>
      <c r="VGI102" s="450"/>
      <c r="VGJ102" s="450"/>
      <c r="VGK102" s="450"/>
      <c r="VGL102" s="450"/>
      <c r="VGM102" s="450"/>
      <c r="VGN102" s="450"/>
      <c r="VGO102" s="450"/>
      <c r="VGP102" s="450"/>
      <c r="VGQ102" s="450"/>
      <c r="VGR102" s="450"/>
      <c r="VGS102" s="450"/>
      <c r="VGT102" s="450"/>
      <c r="VGU102" s="450"/>
      <c r="VGV102" s="450"/>
      <c r="VGW102" s="450"/>
      <c r="VGX102" s="450"/>
      <c r="VGY102" s="450"/>
      <c r="VGZ102" s="450"/>
      <c r="VHA102" s="450"/>
      <c r="VHB102" s="450"/>
      <c r="VHC102" s="450"/>
      <c r="VHD102" s="450"/>
      <c r="VHE102" s="450"/>
      <c r="VHF102" s="450"/>
      <c r="VHG102" s="450"/>
      <c r="VHH102" s="450"/>
      <c r="VHI102" s="450"/>
      <c r="VHJ102" s="450"/>
      <c r="VHK102" s="450"/>
      <c r="VHL102" s="450"/>
      <c r="VHM102" s="450"/>
      <c r="VHN102" s="450"/>
      <c r="VHO102" s="450"/>
      <c r="VHP102" s="450"/>
      <c r="VHQ102" s="450"/>
      <c r="VHR102" s="450"/>
      <c r="VHS102" s="450"/>
      <c r="VHT102" s="450"/>
      <c r="VHU102" s="450"/>
      <c r="VHV102" s="450"/>
      <c r="VHW102" s="450"/>
      <c r="VHX102" s="450"/>
      <c r="VHY102" s="450"/>
      <c r="VHZ102" s="450"/>
      <c r="VIA102" s="450"/>
      <c r="VIB102" s="450"/>
      <c r="VIC102" s="450"/>
      <c r="VID102" s="450"/>
      <c r="VIE102" s="450"/>
      <c r="VIF102" s="450"/>
      <c r="VIG102" s="450"/>
      <c r="VIH102" s="450"/>
      <c r="VII102" s="450"/>
      <c r="VIJ102" s="450"/>
      <c r="VIK102" s="450"/>
      <c r="VIL102" s="450"/>
      <c r="VIM102" s="450"/>
      <c r="VIN102" s="450"/>
      <c r="VIO102" s="450"/>
      <c r="VIP102" s="450"/>
      <c r="VIQ102" s="450"/>
      <c r="VIR102" s="450"/>
      <c r="VIS102" s="450"/>
      <c r="VIT102" s="450"/>
      <c r="VIU102" s="450"/>
      <c r="VIV102" s="450"/>
      <c r="VIW102" s="450"/>
      <c r="VIX102" s="450"/>
      <c r="VIY102" s="450"/>
      <c r="VIZ102" s="450"/>
      <c r="VJA102" s="450"/>
      <c r="VJB102" s="450"/>
      <c r="VJC102" s="450"/>
      <c r="VJD102" s="450"/>
      <c r="VJE102" s="450"/>
      <c r="VJF102" s="450"/>
      <c r="VJG102" s="450"/>
      <c r="VJH102" s="450"/>
      <c r="VJI102" s="450"/>
      <c r="VJJ102" s="450"/>
      <c r="VJK102" s="450"/>
      <c r="VJL102" s="450"/>
      <c r="VJM102" s="450"/>
      <c r="VJN102" s="450"/>
      <c r="VJO102" s="450"/>
      <c r="VJP102" s="450"/>
      <c r="VJQ102" s="450"/>
      <c r="VJR102" s="450"/>
      <c r="VJS102" s="450"/>
      <c r="VJT102" s="450"/>
      <c r="VJU102" s="450"/>
      <c r="VJV102" s="450"/>
      <c r="VJW102" s="450"/>
      <c r="VJX102" s="450"/>
      <c r="VJY102" s="450"/>
      <c r="VJZ102" s="450"/>
      <c r="VKA102" s="450"/>
      <c r="VKB102" s="450"/>
      <c r="VKC102" s="450"/>
      <c r="VKD102" s="450"/>
      <c r="VKE102" s="450"/>
      <c r="VKF102" s="450"/>
      <c r="VKG102" s="450"/>
      <c r="VKH102" s="450"/>
      <c r="VKI102" s="450"/>
      <c r="VKJ102" s="450"/>
      <c r="VKK102" s="450"/>
      <c r="VKL102" s="450"/>
      <c r="VKM102" s="450"/>
      <c r="VKN102" s="450"/>
      <c r="VKO102" s="450"/>
      <c r="VKP102" s="450"/>
      <c r="VKQ102" s="450"/>
      <c r="VKR102" s="450"/>
      <c r="VKS102" s="450"/>
      <c r="VKT102" s="450"/>
      <c r="VKU102" s="450"/>
      <c r="VKV102" s="450"/>
      <c r="VKW102" s="450"/>
      <c r="VKX102" s="450"/>
      <c r="VKY102" s="450"/>
      <c r="VKZ102" s="450"/>
      <c r="VLA102" s="450"/>
      <c r="VLB102" s="450"/>
      <c r="VLC102" s="450"/>
      <c r="VLD102" s="450"/>
      <c r="VLE102" s="450"/>
      <c r="VLF102" s="450"/>
      <c r="VLG102" s="450"/>
      <c r="VLH102" s="450"/>
      <c r="VLI102" s="450"/>
      <c r="VLJ102" s="450"/>
      <c r="VLK102" s="450"/>
      <c r="VLL102" s="450"/>
      <c r="VLM102" s="450"/>
      <c r="VLN102" s="450"/>
      <c r="VLO102" s="450"/>
      <c r="VLP102" s="450"/>
      <c r="VLQ102" s="450"/>
      <c r="VLR102" s="450"/>
      <c r="VLS102" s="450"/>
      <c r="VLT102" s="450"/>
      <c r="VLU102" s="450"/>
      <c r="VLV102" s="450"/>
      <c r="VLW102" s="450"/>
      <c r="VLX102" s="450"/>
      <c r="VLY102" s="450"/>
      <c r="VLZ102" s="450"/>
      <c r="VMA102" s="450"/>
      <c r="VMB102" s="450"/>
      <c r="VMC102" s="450"/>
      <c r="VMD102" s="450"/>
      <c r="VME102" s="450"/>
      <c r="VMF102" s="450"/>
      <c r="VMG102" s="450"/>
      <c r="VMH102" s="450"/>
      <c r="VMI102" s="450"/>
      <c r="VMJ102" s="450"/>
      <c r="VMK102" s="450"/>
      <c r="VML102" s="450"/>
      <c r="VMM102" s="450"/>
      <c r="VMN102" s="450"/>
      <c r="VMO102" s="450"/>
      <c r="VMP102" s="450"/>
      <c r="VMQ102" s="450"/>
      <c r="VMR102" s="450"/>
      <c r="VMS102" s="450"/>
      <c r="VMT102" s="450"/>
      <c r="VMU102" s="450"/>
      <c r="VMV102" s="450"/>
      <c r="VMW102" s="450"/>
      <c r="VMX102" s="450"/>
      <c r="VMY102" s="450"/>
      <c r="VMZ102" s="450"/>
      <c r="VNA102" s="450"/>
      <c r="VNB102" s="450"/>
      <c r="VNC102" s="450"/>
      <c r="VND102" s="450"/>
      <c r="VNE102" s="450"/>
      <c r="VNF102" s="450"/>
      <c r="VNG102" s="450"/>
      <c r="VNH102" s="450"/>
      <c r="VNI102" s="450"/>
      <c r="VNJ102" s="450"/>
      <c r="VNK102" s="450"/>
      <c r="VNL102" s="450"/>
      <c r="VNM102" s="450"/>
      <c r="VNN102" s="450"/>
      <c r="VNO102" s="450"/>
      <c r="VNP102" s="450"/>
      <c r="VNQ102" s="450"/>
      <c r="VNR102" s="450"/>
      <c r="VNS102" s="450"/>
      <c r="VNT102" s="450"/>
      <c r="VNU102" s="450"/>
      <c r="VNV102" s="450"/>
      <c r="VNW102" s="450"/>
      <c r="VNX102" s="450"/>
      <c r="VNY102" s="450"/>
      <c r="VNZ102" s="450"/>
      <c r="VOA102" s="450"/>
      <c r="VOB102" s="450"/>
      <c r="VOC102" s="450"/>
      <c r="VOD102" s="450"/>
      <c r="VOE102" s="450"/>
      <c r="VOF102" s="450"/>
      <c r="VOG102" s="450"/>
      <c r="VOH102" s="450"/>
      <c r="VOI102" s="450"/>
      <c r="VOJ102" s="450"/>
      <c r="VOK102" s="450"/>
      <c r="VOL102" s="450"/>
      <c r="VOM102" s="450"/>
      <c r="VON102" s="450"/>
      <c r="VOO102" s="450"/>
      <c r="VOP102" s="450"/>
      <c r="VOQ102" s="450"/>
      <c r="VOR102" s="450"/>
      <c r="VOS102" s="450"/>
      <c r="VOT102" s="450"/>
      <c r="VOU102" s="450"/>
      <c r="VOV102" s="450"/>
      <c r="VOW102" s="450"/>
      <c r="VOX102" s="450"/>
      <c r="VOY102" s="450"/>
      <c r="VOZ102" s="450"/>
      <c r="VPA102" s="450"/>
      <c r="VPB102" s="450"/>
      <c r="VPC102" s="450"/>
      <c r="VPD102" s="450"/>
      <c r="VPE102" s="450"/>
      <c r="VPF102" s="450"/>
      <c r="VPG102" s="450"/>
      <c r="VPH102" s="450"/>
      <c r="VPI102" s="450"/>
      <c r="VPJ102" s="450"/>
      <c r="VPK102" s="450"/>
      <c r="VPL102" s="450"/>
      <c r="VPM102" s="450"/>
      <c r="VPN102" s="450"/>
      <c r="VPO102" s="450"/>
      <c r="VPP102" s="450"/>
      <c r="VPQ102" s="450"/>
      <c r="VPR102" s="450"/>
      <c r="VPS102" s="450"/>
      <c r="VPT102" s="450"/>
      <c r="VPU102" s="450"/>
      <c r="VPV102" s="450"/>
      <c r="VPW102" s="450"/>
      <c r="VPX102" s="450"/>
      <c r="VPY102" s="450"/>
      <c r="VPZ102" s="450"/>
      <c r="VQA102" s="450"/>
      <c r="VQB102" s="450"/>
      <c r="VQC102" s="450"/>
      <c r="VQD102" s="450"/>
      <c r="VQE102" s="450"/>
      <c r="VQF102" s="450"/>
      <c r="VQG102" s="450"/>
      <c r="VQH102" s="450"/>
      <c r="VQI102" s="450"/>
      <c r="VQJ102" s="450"/>
      <c r="VQK102" s="450"/>
      <c r="VQL102" s="450"/>
      <c r="VQM102" s="450"/>
      <c r="VQN102" s="450"/>
      <c r="VQO102" s="450"/>
      <c r="VQP102" s="450"/>
      <c r="VQQ102" s="450"/>
      <c r="VQR102" s="450"/>
      <c r="VQS102" s="450"/>
      <c r="VQT102" s="450"/>
      <c r="VQU102" s="450"/>
      <c r="VQV102" s="450"/>
      <c r="VQW102" s="450"/>
      <c r="VQX102" s="450"/>
      <c r="VQY102" s="450"/>
      <c r="VQZ102" s="450"/>
      <c r="VRA102" s="450"/>
      <c r="VRB102" s="450"/>
      <c r="VRC102" s="450"/>
      <c r="VRD102" s="450"/>
      <c r="VRE102" s="450"/>
      <c r="VRF102" s="450"/>
      <c r="VRG102" s="450"/>
      <c r="VRH102" s="450"/>
      <c r="VRI102" s="450"/>
      <c r="VRJ102" s="450"/>
      <c r="VRK102" s="450"/>
      <c r="VRL102" s="450"/>
      <c r="VRM102" s="450"/>
      <c r="VRN102" s="450"/>
      <c r="VRO102" s="450"/>
      <c r="VRP102" s="450"/>
      <c r="VRQ102" s="450"/>
      <c r="VRR102" s="450"/>
      <c r="VRS102" s="450"/>
      <c r="VRT102" s="450"/>
      <c r="VRU102" s="450"/>
      <c r="VRV102" s="450"/>
      <c r="VRW102" s="450"/>
      <c r="VRX102" s="450"/>
      <c r="VRY102" s="450"/>
      <c r="VRZ102" s="450"/>
      <c r="VSA102" s="450"/>
      <c r="VSB102" s="450"/>
      <c r="VSC102" s="450"/>
      <c r="VSD102" s="450"/>
      <c r="VSE102" s="450"/>
      <c r="VSF102" s="450"/>
      <c r="VSG102" s="450"/>
      <c r="VSH102" s="450"/>
      <c r="VSI102" s="450"/>
      <c r="VSJ102" s="450"/>
      <c r="VSK102" s="450"/>
      <c r="VSL102" s="450"/>
      <c r="VSM102" s="450"/>
      <c r="VSN102" s="450"/>
      <c r="VSO102" s="450"/>
      <c r="VSP102" s="450"/>
      <c r="VSQ102" s="450"/>
      <c r="VSR102" s="450"/>
      <c r="VSS102" s="450"/>
      <c r="VST102" s="450"/>
      <c r="VSU102" s="450"/>
      <c r="VSV102" s="450"/>
      <c r="VSW102" s="450"/>
      <c r="VSX102" s="450"/>
      <c r="VSY102" s="450"/>
      <c r="VSZ102" s="450"/>
      <c r="VTA102" s="450"/>
      <c r="VTB102" s="450"/>
      <c r="VTC102" s="450"/>
      <c r="VTD102" s="450"/>
      <c r="VTE102" s="450"/>
      <c r="VTF102" s="450"/>
      <c r="VTG102" s="450"/>
      <c r="VTH102" s="450"/>
      <c r="VTI102" s="450"/>
      <c r="VTJ102" s="450"/>
      <c r="VTK102" s="450"/>
      <c r="VTL102" s="450"/>
      <c r="VTM102" s="450"/>
      <c r="VTN102" s="450"/>
      <c r="VTO102" s="450"/>
      <c r="VTP102" s="450"/>
      <c r="VTQ102" s="450"/>
      <c r="VTR102" s="450"/>
      <c r="VTS102" s="450"/>
      <c r="VTT102" s="450"/>
      <c r="VTU102" s="450"/>
      <c r="VTV102" s="450"/>
      <c r="VTW102" s="450"/>
      <c r="VTX102" s="450"/>
      <c r="VTY102" s="450"/>
      <c r="VTZ102" s="450"/>
      <c r="VUA102" s="450"/>
      <c r="VUB102" s="450"/>
      <c r="VUC102" s="450"/>
      <c r="VUD102" s="450"/>
      <c r="VUE102" s="450"/>
      <c r="VUF102" s="450"/>
      <c r="VUG102" s="450"/>
      <c r="VUH102" s="450"/>
      <c r="VUI102" s="450"/>
      <c r="VUJ102" s="450"/>
      <c r="VUK102" s="450"/>
      <c r="VUL102" s="450"/>
      <c r="VUM102" s="450"/>
      <c r="VUN102" s="450"/>
      <c r="VUO102" s="450"/>
      <c r="VUP102" s="450"/>
      <c r="VUQ102" s="450"/>
      <c r="VUR102" s="450"/>
      <c r="VUS102" s="450"/>
      <c r="VUT102" s="450"/>
      <c r="VUU102" s="450"/>
      <c r="VUV102" s="450"/>
      <c r="VUW102" s="450"/>
      <c r="VUX102" s="450"/>
      <c r="VUY102" s="450"/>
      <c r="VUZ102" s="450"/>
      <c r="VVA102" s="450"/>
      <c r="VVB102" s="450"/>
      <c r="VVC102" s="450"/>
      <c r="VVD102" s="450"/>
      <c r="VVE102" s="450"/>
      <c r="VVF102" s="450"/>
      <c r="VVG102" s="450"/>
      <c r="VVH102" s="450"/>
      <c r="VVI102" s="450"/>
      <c r="VVJ102" s="450"/>
      <c r="VVK102" s="450"/>
      <c r="VVL102" s="450"/>
      <c r="VVM102" s="450"/>
      <c r="VVN102" s="450"/>
      <c r="VVO102" s="450"/>
      <c r="VVP102" s="450"/>
      <c r="VVQ102" s="450"/>
      <c r="VVR102" s="450"/>
      <c r="VVS102" s="450"/>
      <c r="VVT102" s="450"/>
      <c r="VVU102" s="450"/>
      <c r="VVV102" s="450"/>
      <c r="VVW102" s="450"/>
      <c r="VVX102" s="450"/>
      <c r="VVY102" s="450"/>
      <c r="VVZ102" s="450"/>
      <c r="VWA102" s="450"/>
      <c r="VWB102" s="450"/>
      <c r="VWC102" s="450"/>
      <c r="VWD102" s="450"/>
      <c r="VWE102" s="450"/>
      <c r="VWF102" s="450"/>
      <c r="VWG102" s="450"/>
      <c r="VWH102" s="450"/>
      <c r="VWI102" s="450"/>
      <c r="VWJ102" s="450"/>
      <c r="VWK102" s="450"/>
      <c r="VWL102" s="450"/>
      <c r="VWM102" s="450"/>
      <c r="VWN102" s="450"/>
      <c r="VWO102" s="450"/>
      <c r="VWP102" s="450"/>
      <c r="VWQ102" s="450"/>
      <c r="VWR102" s="450"/>
      <c r="VWS102" s="450"/>
      <c r="VWT102" s="450"/>
      <c r="VWU102" s="450"/>
      <c r="VWV102" s="450"/>
      <c r="VWW102" s="450"/>
      <c r="VWX102" s="450"/>
      <c r="VWY102" s="450"/>
      <c r="VWZ102" s="450"/>
      <c r="VXA102" s="450"/>
      <c r="VXB102" s="450"/>
      <c r="VXC102" s="450"/>
      <c r="VXD102" s="450"/>
      <c r="VXE102" s="450"/>
      <c r="VXF102" s="450"/>
      <c r="VXG102" s="450"/>
      <c r="VXH102" s="450"/>
      <c r="VXI102" s="450"/>
      <c r="VXJ102" s="450"/>
      <c r="VXK102" s="450"/>
      <c r="VXL102" s="450"/>
      <c r="VXM102" s="450"/>
      <c r="VXN102" s="450"/>
      <c r="VXO102" s="450"/>
      <c r="VXP102" s="450"/>
      <c r="VXQ102" s="450"/>
      <c r="VXR102" s="450"/>
      <c r="VXS102" s="450"/>
      <c r="VXT102" s="450"/>
      <c r="VXU102" s="450"/>
      <c r="VXV102" s="450"/>
      <c r="VXW102" s="450"/>
      <c r="VXX102" s="450"/>
      <c r="VXY102" s="450"/>
      <c r="VXZ102" s="450"/>
      <c r="VYA102" s="450"/>
      <c r="VYB102" s="450"/>
      <c r="VYC102" s="450"/>
      <c r="VYD102" s="450"/>
      <c r="VYE102" s="450"/>
      <c r="VYF102" s="450"/>
      <c r="VYG102" s="450"/>
      <c r="VYH102" s="450"/>
      <c r="VYI102" s="450"/>
      <c r="VYJ102" s="450"/>
      <c r="VYK102" s="450"/>
      <c r="VYL102" s="450"/>
      <c r="VYM102" s="450"/>
      <c r="VYN102" s="450"/>
      <c r="VYO102" s="450"/>
      <c r="VYP102" s="450"/>
      <c r="VYQ102" s="450"/>
      <c r="VYR102" s="450"/>
      <c r="VYS102" s="450"/>
      <c r="VYT102" s="450"/>
      <c r="VYU102" s="450"/>
      <c r="VYV102" s="450"/>
      <c r="VYW102" s="450"/>
      <c r="VYX102" s="450"/>
      <c r="VYY102" s="450"/>
      <c r="VYZ102" s="450"/>
      <c r="VZA102" s="450"/>
      <c r="VZB102" s="450"/>
      <c r="VZC102" s="450"/>
      <c r="VZD102" s="450"/>
      <c r="VZE102" s="450"/>
      <c r="VZF102" s="450"/>
      <c r="VZG102" s="450"/>
      <c r="VZH102" s="450"/>
      <c r="VZI102" s="450"/>
      <c r="VZJ102" s="450"/>
      <c r="VZK102" s="450"/>
      <c r="VZL102" s="450"/>
      <c r="VZM102" s="450"/>
      <c r="VZN102" s="450"/>
      <c r="VZO102" s="450"/>
      <c r="VZP102" s="450"/>
      <c r="VZQ102" s="450"/>
      <c r="VZR102" s="450"/>
      <c r="VZS102" s="450"/>
      <c r="VZT102" s="450"/>
      <c r="VZU102" s="450"/>
      <c r="VZV102" s="450"/>
      <c r="VZW102" s="450"/>
      <c r="VZX102" s="450"/>
      <c r="VZY102" s="450"/>
      <c r="VZZ102" s="450"/>
      <c r="WAA102" s="450"/>
      <c r="WAB102" s="450"/>
      <c r="WAC102" s="450"/>
      <c r="WAD102" s="450"/>
      <c r="WAE102" s="450"/>
      <c r="WAF102" s="450"/>
      <c r="WAG102" s="450"/>
      <c r="WAH102" s="450"/>
      <c r="WAI102" s="450"/>
      <c r="WAJ102" s="450"/>
      <c r="WAK102" s="450"/>
      <c r="WAL102" s="450"/>
      <c r="WAM102" s="450"/>
      <c r="WAN102" s="450"/>
      <c r="WAO102" s="450"/>
      <c r="WAP102" s="450"/>
      <c r="WAQ102" s="450"/>
      <c r="WAR102" s="450"/>
      <c r="WAS102" s="450"/>
      <c r="WAT102" s="450"/>
      <c r="WAU102" s="450"/>
      <c r="WAV102" s="450"/>
      <c r="WAW102" s="450"/>
      <c r="WAX102" s="450"/>
      <c r="WAY102" s="450"/>
      <c r="WAZ102" s="450"/>
      <c r="WBA102" s="450"/>
      <c r="WBB102" s="450"/>
      <c r="WBC102" s="450"/>
      <c r="WBD102" s="450"/>
      <c r="WBE102" s="450"/>
      <c r="WBF102" s="450"/>
      <c r="WBG102" s="450"/>
      <c r="WBH102" s="450"/>
      <c r="WBI102" s="450"/>
      <c r="WBJ102" s="450"/>
      <c r="WBK102" s="450"/>
      <c r="WBL102" s="450"/>
      <c r="WBM102" s="450"/>
      <c r="WBN102" s="450"/>
      <c r="WBO102" s="450"/>
      <c r="WBP102" s="450"/>
      <c r="WBQ102" s="450"/>
      <c r="WBR102" s="450"/>
      <c r="WBS102" s="450"/>
      <c r="WBT102" s="450"/>
      <c r="WBU102" s="450"/>
      <c r="WBV102" s="450"/>
      <c r="WBW102" s="450"/>
      <c r="WBX102" s="450"/>
      <c r="WBY102" s="450"/>
      <c r="WBZ102" s="450"/>
      <c r="WCA102" s="450"/>
      <c r="WCB102" s="450"/>
      <c r="WCC102" s="450"/>
      <c r="WCD102" s="450"/>
      <c r="WCE102" s="450"/>
      <c r="WCF102" s="450"/>
      <c r="WCG102" s="450"/>
      <c r="WCH102" s="450"/>
      <c r="WCI102" s="450"/>
      <c r="WCJ102" s="450"/>
      <c r="WCK102" s="450"/>
      <c r="WCL102" s="450"/>
      <c r="WCM102" s="450"/>
      <c r="WCN102" s="450"/>
      <c r="WCO102" s="450"/>
      <c r="WCP102" s="450"/>
      <c r="WCQ102" s="450"/>
      <c r="WCR102" s="450"/>
      <c r="WCS102" s="450"/>
      <c r="WCT102" s="450"/>
      <c r="WCU102" s="450"/>
      <c r="WCV102" s="450"/>
      <c r="WCW102" s="450"/>
      <c r="WCX102" s="450"/>
      <c r="WCY102" s="450"/>
      <c r="WCZ102" s="450"/>
      <c r="WDA102" s="450"/>
      <c r="WDB102" s="450"/>
      <c r="WDC102" s="450"/>
      <c r="WDD102" s="450"/>
      <c r="WDE102" s="450"/>
      <c r="WDF102" s="450"/>
      <c r="WDG102" s="450"/>
      <c r="WDH102" s="450"/>
      <c r="WDI102" s="450"/>
      <c r="WDJ102" s="450"/>
      <c r="WDK102" s="450"/>
      <c r="WDL102" s="450"/>
      <c r="WDM102" s="450"/>
      <c r="WDN102" s="450"/>
      <c r="WDO102" s="450"/>
      <c r="WDP102" s="450"/>
      <c r="WDQ102" s="450"/>
      <c r="WDR102" s="450"/>
      <c r="WDS102" s="450"/>
      <c r="WDT102" s="450"/>
      <c r="WDU102" s="450"/>
      <c r="WDV102" s="450"/>
      <c r="WDW102" s="450"/>
      <c r="WDX102" s="450"/>
      <c r="WDY102" s="450"/>
      <c r="WDZ102" s="450"/>
      <c r="WEA102" s="450"/>
      <c r="WEB102" s="450"/>
      <c r="WEC102" s="450"/>
      <c r="WED102" s="450"/>
      <c r="WEE102" s="450"/>
      <c r="WEF102" s="450"/>
      <c r="WEG102" s="450"/>
      <c r="WEH102" s="450"/>
      <c r="WEI102" s="450"/>
      <c r="WEJ102" s="450"/>
      <c r="WEK102" s="450"/>
      <c r="WEL102" s="450"/>
      <c r="WEM102" s="450"/>
      <c r="WEN102" s="450"/>
      <c r="WEO102" s="450"/>
      <c r="WEP102" s="450"/>
      <c r="WEQ102" s="450"/>
      <c r="WER102" s="450"/>
      <c r="WES102" s="450"/>
      <c r="WET102" s="450"/>
      <c r="WEU102" s="450"/>
      <c r="WEV102" s="450"/>
      <c r="WEW102" s="450"/>
      <c r="WEX102" s="450"/>
      <c r="WEY102" s="450"/>
      <c r="WEZ102" s="450"/>
      <c r="WFA102" s="450"/>
      <c r="WFB102" s="450"/>
      <c r="WFC102" s="450"/>
      <c r="WFD102" s="450"/>
      <c r="WFE102" s="450"/>
      <c r="WFF102" s="450"/>
      <c r="WFG102" s="450"/>
      <c r="WFH102" s="450"/>
      <c r="WFI102" s="450"/>
      <c r="WFJ102" s="450"/>
      <c r="WFK102" s="450"/>
      <c r="WFL102" s="450"/>
      <c r="WFM102" s="450"/>
      <c r="WFN102" s="450"/>
      <c r="WFO102" s="450"/>
      <c r="WFP102" s="450"/>
      <c r="WFQ102" s="450"/>
      <c r="WFR102" s="450"/>
      <c r="WFS102" s="450"/>
      <c r="WFT102" s="450"/>
      <c r="WFU102" s="450"/>
      <c r="WFV102" s="450"/>
      <c r="WFW102" s="450"/>
      <c r="WFX102" s="450"/>
      <c r="WFY102" s="450"/>
      <c r="WFZ102" s="450"/>
      <c r="WGA102" s="450"/>
      <c r="WGB102" s="450"/>
      <c r="WGC102" s="450"/>
      <c r="WGD102" s="450"/>
      <c r="WGE102" s="450"/>
      <c r="WGF102" s="450"/>
      <c r="WGG102" s="450"/>
      <c r="WGH102" s="450"/>
      <c r="WGI102" s="450"/>
      <c r="WGJ102" s="450"/>
      <c r="WGK102" s="450"/>
      <c r="WGL102" s="450"/>
      <c r="WGM102" s="450"/>
      <c r="WGN102" s="450"/>
      <c r="WGO102" s="450"/>
      <c r="WGP102" s="450"/>
      <c r="WGQ102" s="450"/>
      <c r="WGR102" s="450"/>
      <c r="WGS102" s="450"/>
      <c r="WGT102" s="450"/>
      <c r="WGU102" s="450"/>
      <c r="WGV102" s="450"/>
      <c r="WGW102" s="450"/>
      <c r="WGX102" s="450"/>
      <c r="WGY102" s="450"/>
      <c r="WGZ102" s="450"/>
      <c r="WHA102" s="450"/>
      <c r="WHB102" s="450"/>
      <c r="WHC102" s="450"/>
      <c r="WHD102" s="450"/>
      <c r="WHE102" s="450"/>
      <c r="WHF102" s="450"/>
      <c r="WHG102" s="450"/>
      <c r="WHH102" s="450"/>
      <c r="WHI102" s="450"/>
      <c r="WHJ102" s="450"/>
      <c r="WHK102" s="450"/>
      <c r="WHL102" s="450"/>
      <c r="WHM102" s="450"/>
      <c r="WHN102" s="450"/>
      <c r="WHO102" s="450"/>
      <c r="WHP102" s="450"/>
      <c r="WHQ102" s="450"/>
      <c r="WHR102" s="450"/>
      <c r="WHS102" s="450"/>
      <c r="WHT102" s="450"/>
      <c r="WHU102" s="450"/>
      <c r="WHV102" s="450"/>
      <c r="WHW102" s="450"/>
      <c r="WHX102" s="450"/>
      <c r="WHY102" s="450"/>
      <c r="WHZ102" s="450"/>
      <c r="WIA102" s="450"/>
      <c r="WIB102" s="450"/>
      <c r="WIC102" s="450"/>
      <c r="WID102" s="450"/>
      <c r="WIE102" s="450"/>
      <c r="WIF102" s="450"/>
      <c r="WIG102" s="450"/>
      <c r="WIH102" s="450"/>
      <c r="WII102" s="450"/>
      <c r="WIJ102" s="450"/>
      <c r="WIK102" s="450"/>
      <c r="WIL102" s="450"/>
      <c r="WIM102" s="450"/>
      <c r="WIN102" s="450"/>
      <c r="WIO102" s="450"/>
      <c r="WIP102" s="450"/>
      <c r="WIQ102" s="450"/>
      <c r="WIR102" s="450"/>
      <c r="WIS102" s="450"/>
      <c r="WIT102" s="450"/>
      <c r="WIU102" s="450"/>
      <c r="WIV102" s="450"/>
      <c r="WIW102" s="450"/>
      <c r="WIX102" s="450"/>
      <c r="WIY102" s="450"/>
      <c r="WIZ102" s="450"/>
      <c r="WJA102" s="450"/>
      <c r="WJB102" s="450"/>
      <c r="WJC102" s="450"/>
      <c r="WJD102" s="450"/>
      <c r="WJE102" s="450"/>
      <c r="WJF102" s="450"/>
      <c r="WJG102" s="450"/>
      <c r="WJH102" s="450"/>
      <c r="WJI102" s="450"/>
      <c r="WJJ102" s="450"/>
      <c r="WJK102" s="450"/>
      <c r="WJL102" s="450"/>
      <c r="WJM102" s="450"/>
      <c r="WJN102" s="450"/>
      <c r="WJO102" s="450"/>
      <c r="WJP102" s="450"/>
      <c r="WJQ102" s="450"/>
      <c r="WJR102" s="450"/>
      <c r="WJS102" s="450"/>
      <c r="WJT102" s="450"/>
      <c r="WJU102" s="450"/>
      <c r="WJV102" s="450"/>
      <c r="WJW102" s="450"/>
      <c r="WJX102" s="450"/>
      <c r="WJY102" s="450"/>
      <c r="WJZ102" s="450"/>
      <c r="WKA102" s="450"/>
      <c r="WKB102" s="450"/>
      <c r="WKC102" s="450"/>
      <c r="WKD102" s="450"/>
      <c r="WKE102" s="450"/>
      <c r="WKF102" s="450"/>
      <c r="WKG102" s="450"/>
      <c r="WKH102" s="450"/>
      <c r="WKI102" s="450"/>
      <c r="WKJ102" s="450"/>
      <c r="WKK102" s="450"/>
      <c r="WKL102" s="450"/>
      <c r="WKM102" s="450"/>
      <c r="WKN102" s="450"/>
      <c r="WKO102" s="450"/>
      <c r="WKP102" s="450"/>
      <c r="WKQ102" s="450"/>
      <c r="WKR102" s="450"/>
      <c r="WKS102" s="450"/>
      <c r="WKT102" s="450"/>
      <c r="WKU102" s="450"/>
      <c r="WKV102" s="450"/>
      <c r="WKW102" s="450"/>
      <c r="WKX102" s="450"/>
      <c r="WKY102" s="450"/>
      <c r="WKZ102" s="450"/>
      <c r="WLA102" s="450"/>
      <c r="WLB102" s="450"/>
      <c r="WLC102" s="450"/>
      <c r="WLD102" s="450"/>
      <c r="WLE102" s="450"/>
      <c r="WLF102" s="450"/>
      <c r="WLG102" s="450"/>
      <c r="WLH102" s="450"/>
      <c r="WLI102" s="450"/>
      <c r="WLJ102" s="450"/>
      <c r="WLK102" s="450"/>
      <c r="WLL102" s="450"/>
      <c r="WLM102" s="450"/>
      <c r="WLN102" s="450"/>
      <c r="WLO102" s="450"/>
      <c r="WLP102" s="450"/>
      <c r="WLQ102" s="450"/>
      <c r="WLR102" s="450"/>
      <c r="WLS102" s="450"/>
      <c r="WLT102" s="450"/>
      <c r="WLU102" s="450"/>
      <c r="WLV102" s="450"/>
      <c r="WLW102" s="450"/>
      <c r="WLX102" s="450"/>
      <c r="WLY102" s="450"/>
      <c r="WLZ102" s="450"/>
      <c r="WMA102" s="450"/>
      <c r="WMB102" s="450"/>
      <c r="WMC102" s="450"/>
      <c r="WMD102" s="450"/>
      <c r="WME102" s="450"/>
      <c r="WMF102" s="450"/>
      <c r="WMG102" s="450"/>
      <c r="WMH102" s="450"/>
      <c r="WMI102" s="450"/>
      <c r="WMJ102" s="450"/>
      <c r="WMK102" s="450"/>
      <c r="WML102" s="450"/>
      <c r="WMM102" s="450"/>
      <c r="WMN102" s="450"/>
      <c r="WMO102" s="450"/>
      <c r="WMP102" s="450"/>
      <c r="WMQ102" s="450"/>
      <c r="WMR102" s="450"/>
      <c r="WMS102" s="450"/>
      <c r="WMT102" s="450"/>
      <c r="WMU102" s="450"/>
      <c r="WMV102" s="450"/>
      <c r="WMW102" s="450"/>
      <c r="WMX102" s="450"/>
      <c r="WMY102" s="450"/>
      <c r="WMZ102" s="450"/>
      <c r="WNA102" s="450"/>
      <c r="WNB102" s="450"/>
      <c r="WNC102" s="450"/>
      <c r="WND102" s="450"/>
      <c r="WNE102" s="450"/>
      <c r="WNF102" s="450"/>
      <c r="WNG102" s="450"/>
      <c r="WNH102" s="450"/>
      <c r="WNI102" s="450"/>
      <c r="WNJ102" s="450"/>
      <c r="WNK102" s="450"/>
      <c r="WNL102" s="450"/>
      <c r="WNM102" s="450"/>
      <c r="WNN102" s="450"/>
      <c r="WNO102" s="450"/>
      <c r="WNP102" s="450"/>
      <c r="WNQ102" s="450"/>
      <c r="WNR102" s="450"/>
      <c r="WNS102" s="450"/>
      <c r="WNT102" s="450"/>
      <c r="WNU102" s="450"/>
      <c r="WNV102" s="450"/>
      <c r="WNW102" s="450"/>
      <c r="WNX102" s="450"/>
      <c r="WNY102" s="450"/>
      <c r="WNZ102" s="450"/>
      <c r="WOA102" s="450"/>
      <c r="WOB102" s="450"/>
      <c r="WOC102" s="450"/>
      <c r="WOD102" s="450"/>
      <c r="WOE102" s="450"/>
      <c r="WOF102" s="450"/>
      <c r="WOG102" s="450"/>
      <c r="WOH102" s="450"/>
      <c r="WOI102" s="450"/>
      <c r="WOJ102" s="450"/>
      <c r="WOK102" s="450"/>
      <c r="WOL102" s="450"/>
      <c r="WOM102" s="450"/>
      <c r="WON102" s="450"/>
      <c r="WOO102" s="450"/>
      <c r="WOP102" s="450"/>
      <c r="WOQ102" s="450"/>
      <c r="WOR102" s="450"/>
      <c r="WOS102" s="450"/>
      <c r="WOT102" s="450"/>
      <c r="WOU102" s="450"/>
      <c r="WOV102" s="450"/>
      <c r="WOW102" s="450"/>
      <c r="WOX102" s="450"/>
      <c r="WOY102" s="450"/>
      <c r="WOZ102" s="450"/>
      <c r="WPA102" s="450"/>
      <c r="WPB102" s="450"/>
      <c r="WPC102" s="450"/>
      <c r="WPD102" s="450"/>
      <c r="WPE102" s="450"/>
      <c r="WPF102" s="450"/>
      <c r="WPG102" s="450"/>
      <c r="WPH102" s="450"/>
      <c r="WPI102" s="450"/>
      <c r="WPJ102" s="450"/>
      <c r="WPK102" s="450"/>
      <c r="WPL102" s="450"/>
      <c r="WPM102" s="450"/>
      <c r="WPN102" s="450"/>
      <c r="WPO102" s="450"/>
      <c r="WPP102" s="450"/>
      <c r="WPQ102" s="450"/>
      <c r="WPR102" s="450"/>
      <c r="WPS102" s="450"/>
      <c r="WPT102" s="450"/>
      <c r="WPU102" s="450"/>
      <c r="WPV102" s="450"/>
      <c r="WPW102" s="450"/>
      <c r="WPX102" s="450"/>
      <c r="WPY102" s="450"/>
      <c r="WPZ102" s="450"/>
      <c r="WQA102" s="450"/>
      <c r="WQB102" s="450"/>
      <c r="WQC102" s="450"/>
      <c r="WQD102" s="450"/>
      <c r="WQE102" s="450"/>
      <c r="WQF102" s="450"/>
      <c r="WQG102" s="450"/>
      <c r="WQH102" s="450"/>
      <c r="WQI102" s="450"/>
      <c r="WQJ102" s="450"/>
      <c r="WQK102" s="450"/>
      <c r="WQL102" s="450"/>
      <c r="WQM102" s="450"/>
      <c r="WQN102" s="450"/>
      <c r="WQO102" s="450"/>
      <c r="WQP102" s="450"/>
      <c r="WQQ102" s="450"/>
      <c r="WQR102" s="450"/>
      <c r="WQS102" s="450"/>
      <c r="WQT102" s="450"/>
      <c r="WQU102" s="450"/>
      <c r="WQV102" s="450"/>
      <c r="WQW102" s="450"/>
      <c r="WQX102" s="450"/>
      <c r="WQY102" s="450"/>
      <c r="WQZ102" s="450"/>
      <c r="WRA102" s="450"/>
      <c r="WRB102" s="450"/>
      <c r="WRC102" s="450"/>
      <c r="WRD102" s="450"/>
      <c r="WRE102" s="450"/>
      <c r="WRF102" s="450"/>
      <c r="WRG102" s="450"/>
      <c r="WRH102" s="450"/>
      <c r="WRI102" s="450"/>
      <c r="WRJ102" s="450"/>
      <c r="WRK102" s="450"/>
      <c r="WRL102" s="450"/>
      <c r="WRM102" s="450"/>
      <c r="WRN102" s="450"/>
      <c r="WRO102" s="450"/>
      <c r="WRP102" s="450"/>
      <c r="WRQ102" s="450"/>
      <c r="WRR102" s="450"/>
      <c r="WRS102" s="450"/>
      <c r="WRT102" s="450"/>
      <c r="WRU102" s="450"/>
      <c r="WRV102" s="450"/>
      <c r="WRW102" s="450"/>
      <c r="WRX102" s="450"/>
      <c r="WRY102" s="450"/>
      <c r="WRZ102" s="450"/>
      <c r="WSA102" s="450"/>
      <c r="WSB102" s="450"/>
      <c r="WSC102" s="450"/>
      <c r="WSD102" s="450"/>
      <c r="WSE102" s="450"/>
      <c r="WSF102" s="450"/>
      <c r="WSG102" s="450"/>
      <c r="WSH102" s="450"/>
      <c r="WSI102" s="450"/>
      <c r="WSJ102" s="450"/>
      <c r="WSK102" s="450"/>
      <c r="WSL102" s="450"/>
      <c r="WSM102" s="450"/>
      <c r="WSN102" s="450"/>
      <c r="WSO102" s="450"/>
      <c r="WSP102" s="450"/>
      <c r="WSQ102" s="450"/>
      <c r="WSR102" s="450"/>
      <c r="WSS102" s="450"/>
      <c r="WST102" s="450"/>
      <c r="WSU102" s="450"/>
      <c r="WSV102" s="450"/>
      <c r="WSW102" s="450"/>
      <c r="WSX102" s="450"/>
      <c r="WSY102" s="450"/>
      <c r="WSZ102" s="450"/>
      <c r="WTA102" s="450"/>
      <c r="WTB102" s="450"/>
      <c r="WTC102" s="450"/>
      <c r="WTD102" s="450"/>
      <c r="WTE102" s="450"/>
      <c r="WTF102" s="450"/>
      <c r="WTG102" s="450"/>
      <c r="WTH102" s="450"/>
      <c r="WTI102" s="450"/>
      <c r="WTJ102" s="450"/>
      <c r="WTK102" s="450"/>
      <c r="WTL102" s="450"/>
      <c r="WTM102" s="450"/>
      <c r="WTN102" s="450"/>
      <c r="WTO102" s="450"/>
      <c r="WTP102" s="450"/>
      <c r="WTQ102" s="450"/>
      <c r="WTR102" s="450"/>
      <c r="WTS102" s="450"/>
      <c r="WTT102" s="450"/>
      <c r="WTU102" s="450"/>
      <c r="WTV102" s="450"/>
      <c r="WTW102" s="450"/>
      <c r="WTX102" s="450"/>
      <c r="WTY102" s="450"/>
      <c r="WTZ102" s="450"/>
      <c r="WUA102" s="450"/>
      <c r="WUB102" s="450"/>
      <c r="WUC102" s="450"/>
      <c r="WUD102" s="450"/>
      <c r="WUE102" s="450"/>
      <c r="WUF102" s="450"/>
      <c r="WUG102" s="450"/>
      <c r="WUH102" s="450"/>
      <c r="WUI102" s="450"/>
      <c r="WUJ102" s="450"/>
      <c r="WUK102" s="450"/>
      <c r="WUL102" s="450"/>
      <c r="WUM102" s="450"/>
      <c r="WUN102" s="450"/>
      <c r="WUO102" s="450"/>
      <c r="WUP102" s="450"/>
      <c r="WUQ102" s="450"/>
      <c r="WUR102" s="450"/>
      <c r="WUS102" s="450"/>
      <c r="WUT102" s="450"/>
      <c r="WUU102" s="450"/>
      <c r="WUV102" s="450"/>
      <c r="WUW102" s="450"/>
      <c r="WUX102" s="450"/>
      <c r="WUY102" s="450"/>
      <c r="WUZ102" s="450"/>
      <c r="WVA102" s="450"/>
      <c r="WVB102" s="450"/>
      <c r="WVC102" s="450"/>
      <c r="WVD102" s="450"/>
      <c r="WVE102" s="450"/>
      <c r="WVF102" s="450"/>
      <c r="WVG102" s="450"/>
      <c r="WVH102" s="450"/>
      <c r="WVI102" s="450"/>
      <c r="WVJ102" s="450"/>
      <c r="WVK102" s="450"/>
      <c r="WVL102" s="450"/>
      <c r="WVM102" s="450"/>
      <c r="WVN102" s="450"/>
      <c r="WVO102" s="450"/>
      <c r="WVP102" s="450"/>
      <c r="WVQ102" s="450"/>
      <c r="WVR102" s="450"/>
      <c r="WVS102" s="450"/>
      <c r="WVT102" s="450"/>
      <c r="WVU102" s="450"/>
      <c r="WVV102" s="450"/>
      <c r="WVW102" s="450"/>
      <c r="WVX102" s="450"/>
      <c r="WVY102" s="450"/>
      <c r="WVZ102" s="450"/>
      <c r="WWA102" s="450"/>
      <c r="WWB102" s="450"/>
      <c r="WWC102" s="450"/>
      <c r="WWD102" s="450"/>
      <c r="WWE102" s="450"/>
      <c r="WWF102" s="450"/>
      <c r="WWG102" s="450"/>
      <c r="WWH102" s="450"/>
      <c r="WWI102" s="450"/>
      <c r="WWJ102" s="450"/>
      <c r="WWK102" s="450"/>
      <c r="WWL102" s="450"/>
      <c r="WWM102" s="450"/>
      <c r="WWN102" s="450"/>
      <c r="WWO102" s="450"/>
      <c r="WWP102" s="450"/>
      <c r="WWQ102" s="450"/>
      <c r="WWR102" s="450"/>
      <c r="WWS102" s="450"/>
      <c r="WWT102" s="450"/>
      <c r="WWU102" s="450"/>
      <c r="WWV102" s="450"/>
      <c r="WWW102" s="450"/>
      <c r="WWX102" s="450"/>
      <c r="WWY102" s="450"/>
      <c r="WWZ102" s="450"/>
      <c r="WXA102" s="450"/>
      <c r="WXB102" s="450"/>
      <c r="WXC102" s="450"/>
      <c r="WXD102" s="450"/>
      <c r="WXE102" s="450"/>
      <c r="WXF102" s="450"/>
      <c r="WXG102" s="450"/>
      <c r="WXH102" s="450"/>
      <c r="WXI102" s="450"/>
      <c r="WXJ102" s="450"/>
      <c r="WXK102" s="450"/>
      <c r="WXL102" s="450"/>
      <c r="WXM102" s="450"/>
      <c r="WXN102" s="450"/>
      <c r="WXO102" s="450"/>
      <c r="WXP102" s="450"/>
      <c r="WXQ102" s="450"/>
      <c r="WXR102" s="450"/>
      <c r="WXS102" s="450"/>
      <c r="WXT102" s="450"/>
      <c r="WXU102" s="450"/>
      <c r="WXV102" s="450"/>
      <c r="WXW102" s="450"/>
      <c r="WXX102" s="450"/>
      <c r="WXY102" s="450"/>
      <c r="WXZ102" s="450"/>
      <c r="WYA102" s="450"/>
      <c r="WYB102" s="450"/>
      <c r="WYC102" s="450"/>
      <c r="WYD102" s="450"/>
      <c r="WYE102" s="450"/>
      <c r="WYF102" s="450"/>
      <c r="WYG102" s="450"/>
      <c r="WYH102" s="450"/>
      <c r="WYI102" s="450"/>
      <c r="WYJ102" s="450"/>
      <c r="WYK102" s="450"/>
      <c r="WYL102" s="450"/>
      <c r="WYM102" s="450"/>
      <c r="WYN102" s="450"/>
      <c r="WYO102" s="450"/>
      <c r="WYP102" s="450"/>
      <c r="WYQ102" s="450"/>
      <c r="WYR102" s="450"/>
      <c r="WYS102" s="450"/>
      <c r="WYT102" s="450"/>
      <c r="WYU102" s="450"/>
      <c r="WYV102" s="450"/>
      <c r="WYW102" s="450"/>
      <c r="WYX102" s="450"/>
      <c r="WYY102" s="450"/>
      <c r="WYZ102" s="450"/>
      <c r="WZA102" s="450"/>
      <c r="WZB102" s="450"/>
      <c r="WZC102" s="450"/>
      <c r="WZD102" s="450"/>
      <c r="WZE102" s="450"/>
      <c r="WZF102" s="450"/>
      <c r="WZG102" s="450"/>
      <c r="WZH102" s="450"/>
      <c r="WZI102" s="450"/>
      <c r="WZJ102" s="450"/>
      <c r="WZK102" s="450"/>
      <c r="WZL102" s="450"/>
      <c r="WZM102" s="450"/>
      <c r="WZN102" s="450"/>
      <c r="WZO102" s="450"/>
      <c r="WZP102" s="450"/>
      <c r="WZQ102" s="450"/>
      <c r="WZR102" s="450"/>
      <c r="WZS102" s="450"/>
      <c r="WZT102" s="450"/>
      <c r="WZU102" s="450"/>
      <c r="WZV102" s="450"/>
      <c r="WZW102" s="450"/>
      <c r="WZX102" s="450"/>
      <c r="WZY102" s="450"/>
      <c r="WZZ102" s="450"/>
      <c r="XAA102" s="450"/>
      <c r="XAB102" s="450"/>
      <c r="XAC102" s="450"/>
      <c r="XAD102" s="450"/>
      <c r="XAE102" s="450"/>
      <c r="XAF102" s="450"/>
      <c r="XAG102" s="450"/>
      <c r="XAH102" s="450"/>
      <c r="XAI102" s="450"/>
      <c r="XAJ102" s="450"/>
      <c r="XAK102" s="450"/>
      <c r="XAL102" s="450"/>
      <c r="XAM102" s="450"/>
      <c r="XAN102" s="450"/>
      <c r="XAO102" s="450"/>
      <c r="XAP102" s="450"/>
      <c r="XAQ102" s="450"/>
      <c r="XAR102" s="450"/>
      <c r="XAS102" s="450"/>
      <c r="XAT102" s="450"/>
      <c r="XAU102" s="450"/>
      <c r="XAV102" s="450"/>
      <c r="XAW102" s="450"/>
      <c r="XAX102" s="450"/>
      <c r="XAY102" s="450"/>
      <c r="XAZ102" s="450"/>
      <c r="XBA102" s="450"/>
      <c r="XBB102" s="450"/>
      <c r="XBC102" s="450"/>
      <c r="XBD102" s="450"/>
      <c r="XBE102" s="450"/>
      <c r="XBF102" s="450"/>
      <c r="XBG102" s="450"/>
      <c r="XBH102" s="450"/>
      <c r="XBI102" s="450"/>
      <c r="XBJ102" s="450"/>
      <c r="XBK102" s="450"/>
      <c r="XBL102" s="450"/>
      <c r="XBM102" s="450"/>
      <c r="XBN102" s="450"/>
      <c r="XBO102" s="450"/>
      <c r="XBP102" s="450"/>
      <c r="XBQ102" s="450"/>
      <c r="XBR102" s="450"/>
      <c r="XBS102" s="450"/>
      <c r="XBT102" s="450"/>
      <c r="XBU102" s="450"/>
      <c r="XBV102" s="450"/>
      <c r="XBW102" s="450"/>
      <c r="XBX102" s="450"/>
      <c r="XBY102" s="450"/>
      <c r="XBZ102" s="450"/>
      <c r="XCA102" s="450"/>
      <c r="XCB102" s="450"/>
      <c r="XCC102" s="450"/>
      <c r="XCD102" s="450"/>
      <c r="XCE102" s="450"/>
      <c r="XCF102" s="450"/>
      <c r="XCG102" s="450"/>
      <c r="XCH102" s="450"/>
      <c r="XCI102" s="450"/>
      <c r="XCJ102" s="450"/>
      <c r="XCK102" s="450"/>
      <c r="XCL102" s="450"/>
      <c r="XCM102" s="450"/>
      <c r="XCN102" s="450"/>
      <c r="XCO102" s="450"/>
      <c r="XCP102" s="450"/>
      <c r="XCQ102" s="450"/>
      <c r="XCR102" s="450"/>
      <c r="XCS102" s="450"/>
      <c r="XCT102" s="450"/>
      <c r="XCU102" s="450"/>
      <c r="XCV102" s="450"/>
      <c r="XCW102" s="450"/>
      <c r="XCX102" s="450"/>
      <c r="XCY102" s="450"/>
      <c r="XCZ102" s="450"/>
      <c r="XDA102" s="450"/>
      <c r="XDB102" s="450"/>
      <c r="XDC102" s="450"/>
    </row>
    <row r="103" spans="1:16331" s="332" customFormat="1" ht="80.25" customHeight="1" x14ac:dyDescent="0.25">
      <c r="A103" s="259">
        <v>309</v>
      </c>
      <c r="B103" s="435" t="s">
        <v>223</v>
      </c>
      <c r="C103" s="313"/>
      <c r="D103" s="448"/>
      <c r="E103" s="313">
        <v>4</v>
      </c>
      <c r="F103" s="448" t="s">
        <v>102</v>
      </c>
      <c r="G103" s="345" t="s">
        <v>29</v>
      </c>
      <c r="H103" s="435" t="s">
        <v>22</v>
      </c>
      <c r="I103" s="313">
        <v>4502</v>
      </c>
      <c r="J103" s="448" t="s">
        <v>49</v>
      </c>
      <c r="K103" s="259">
        <v>4502035</v>
      </c>
      <c r="L103" s="448" t="s">
        <v>316</v>
      </c>
      <c r="M103" s="451" t="s">
        <v>320</v>
      </c>
      <c r="N103" s="448" t="s">
        <v>317</v>
      </c>
      <c r="O103" s="343" t="s">
        <v>67</v>
      </c>
      <c r="P103" s="272">
        <v>1</v>
      </c>
      <c r="Q103" s="272">
        <v>0</v>
      </c>
      <c r="R103" s="281">
        <v>2024003630083</v>
      </c>
      <c r="S103" s="325" t="s">
        <v>319</v>
      </c>
      <c r="T103" s="328"/>
      <c r="U103" s="328"/>
      <c r="V103" s="328"/>
      <c r="W103" s="328"/>
      <c r="X103" s="328"/>
      <c r="Y103" s="328"/>
      <c r="Z103" s="328"/>
      <c r="AA103" s="328"/>
      <c r="AB103" s="328"/>
      <c r="AC103" s="328"/>
      <c r="AD103" s="328"/>
      <c r="AE103" s="328"/>
      <c r="AF103" s="328"/>
      <c r="AG103" s="328"/>
      <c r="AH103" s="328"/>
      <c r="AI103" s="328"/>
      <c r="AJ103" s="328"/>
      <c r="AK103" s="328"/>
      <c r="AL103" s="404">
        <f>45004619.64</f>
        <v>45004619.640000001</v>
      </c>
      <c r="AM103" s="404">
        <v>32015353</v>
      </c>
      <c r="AN103" s="404">
        <v>13800000</v>
      </c>
      <c r="AO103" s="328"/>
      <c r="AP103" s="328"/>
      <c r="AQ103" s="328"/>
      <c r="AR103" s="328"/>
      <c r="AS103" s="328"/>
      <c r="AT103" s="328"/>
      <c r="AU103" s="328">
        <f t="shared" si="3"/>
        <v>45004619.640000001</v>
      </c>
      <c r="AV103" s="328">
        <f t="shared" si="4"/>
        <v>32015353</v>
      </c>
      <c r="AW103" s="328">
        <f t="shared" si="5"/>
        <v>13800000</v>
      </c>
      <c r="AX103" s="385" t="s">
        <v>226</v>
      </c>
      <c r="AY103" s="331"/>
      <c r="AZ103" s="331"/>
      <c r="BA103" s="449"/>
      <c r="BB103" s="449"/>
      <c r="BC103" s="449"/>
      <c r="BD103" s="449"/>
      <c r="BE103" s="449"/>
      <c r="BF103" s="449"/>
      <c r="BG103" s="449"/>
      <c r="BH103" s="449"/>
      <c r="BI103" s="449"/>
      <c r="BJ103" s="449"/>
      <c r="BK103" s="449"/>
      <c r="BL103" s="449"/>
      <c r="BM103" s="449"/>
      <c r="BN103" s="449"/>
      <c r="BO103" s="449"/>
      <c r="BP103" s="449"/>
      <c r="BQ103" s="449"/>
      <c r="BR103" s="449"/>
      <c r="BS103" s="449"/>
      <c r="BT103" s="449"/>
      <c r="BU103" s="449"/>
      <c r="BV103" s="449"/>
      <c r="BW103" s="449"/>
      <c r="BX103" s="449"/>
      <c r="BY103" s="449"/>
      <c r="BZ103" s="449"/>
      <c r="CA103" s="449"/>
      <c r="CB103" s="449"/>
      <c r="CC103" s="449"/>
      <c r="CD103" s="449"/>
      <c r="CE103" s="449"/>
      <c r="CF103" s="449"/>
      <c r="CG103" s="449"/>
      <c r="CH103" s="449"/>
      <c r="CI103" s="449"/>
      <c r="CJ103" s="449"/>
      <c r="CK103" s="449"/>
      <c r="CL103" s="449"/>
      <c r="CM103" s="449"/>
      <c r="CN103" s="449"/>
      <c r="CO103" s="449"/>
      <c r="CP103" s="449"/>
      <c r="CQ103" s="449"/>
      <c r="CR103" s="449"/>
      <c r="CS103" s="449"/>
      <c r="CT103" s="449"/>
      <c r="CU103" s="449"/>
      <c r="CV103" s="449"/>
      <c r="CW103" s="449"/>
      <c r="CX103" s="449"/>
      <c r="CY103" s="449"/>
      <c r="CZ103" s="449"/>
      <c r="DA103" s="449"/>
      <c r="DB103" s="449"/>
      <c r="DC103" s="449"/>
      <c r="DD103" s="449"/>
      <c r="DE103" s="449"/>
      <c r="DF103" s="449"/>
      <c r="DG103" s="449"/>
      <c r="DH103" s="449"/>
      <c r="DI103" s="449"/>
      <c r="DJ103" s="449"/>
      <c r="DK103" s="449"/>
      <c r="DL103" s="449"/>
      <c r="DM103" s="449"/>
      <c r="DN103" s="449"/>
      <c r="DO103" s="449"/>
      <c r="DP103" s="449"/>
      <c r="DQ103" s="449"/>
      <c r="DR103" s="449"/>
      <c r="DS103" s="449"/>
      <c r="DT103" s="449"/>
      <c r="DU103" s="449"/>
      <c r="DV103" s="449"/>
      <c r="DW103" s="449"/>
      <c r="DX103" s="449"/>
      <c r="DY103" s="449"/>
      <c r="DZ103" s="450"/>
      <c r="EA103" s="450"/>
      <c r="EB103" s="450"/>
      <c r="EC103" s="450"/>
      <c r="ED103" s="450"/>
      <c r="EE103" s="450"/>
      <c r="EF103" s="450"/>
      <c r="EG103" s="450"/>
      <c r="EH103" s="450"/>
      <c r="EI103" s="450"/>
      <c r="EJ103" s="450"/>
      <c r="EK103" s="450"/>
      <c r="EL103" s="450"/>
      <c r="EM103" s="450"/>
      <c r="EN103" s="450"/>
      <c r="EO103" s="450"/>
      <c r="EP103" s="450"/>
      <c r="EQ103" s="450"/>
      <c r="ER103" s="450"/>
      <c r="ES103" s="450"/>
      <c r="ET103" s="450"/>
      <c r="EU103" s="450"/>
      <c r="EV103" s="450"/>
      <c r="EW103" s="450"/>
      <c r="EX103" s="450"/>
      <c r="EY103" s="450"/>
      <c r="EZ103" s="450"/>
      <c r="FA103" s="450"/>
      <c r="FB103" s="450"/>
      <c r="FC103" s="450"/>
      <c r="FD103" s="450"/>
      <c r="FE103" s="450"/>
      <c r="FF103" s="450"/>
      <c r="FG103" s="450"/>
      <c r="FH103" s="450"/>
      <c r="FI103" s="450"/>
      <c r="FJ103" s="450"/>
      <c r="FK103" s="450"/>
      <c r="FL103" s="450"/>
      <c r="FM103" s="450"/>
      <c r="FN103" s="450"/>
      <c r="FO103" s="450"/>
      <c r="FP103" s="450"/>
      <c r="FQ103" s="450"/>
      <c r="FR103" s="450"/>
      <c r="FS103" s="450"/>
      <c r="FT103" s="450"/>
      <c r="FU103" s="450"/>
      <c r="FV103" s="450"/>
      <c r="FW103" s="450"/>
      <c r="FX103" s="450"/>
      <c r="FY103" s="450"/>
      <c r="FZ103" s="450"/>
      <c r="GA103" s="450"/>
      <c r="GB103" s="450"/>
      <c r="GC103" s="450"/>
      <c r="GD103" s="450"/>
      <c r="GE103" s="450"/>
      <c r="GF103" s="450"/>
      <c r="GG103" s="450"/>
      <c r="GH103" s="450"/>
      <c r="GI103" s="450"/>
      <c r="GJ103" s="450"/>
      <c r="GK103" s="450"/>
      <c r="GL103" s="450"/>
      <c r="GM103" s="450"/>
      <c r="GN103" s="450"/>
      <c r="GO103" s="450"/>
      <c r="GP103" s="450"/>
      <c r="GQ103" s="450"/>
      <c r="GR103" s="450"/>
      <c r="GS103" s="450"/>
      <c r="GT103" s="450"/>
      <c r="GU103" s="450"/>
      <c r="GV103" s="450"/>
      <c r="GW103" s="450"/>
      <c r="GX103" s="450"/>
      <c r="GY103" s="450"/>
      <c r="GZ103" s="450"/>
      <c r="HA103" s="450"/>
      <c r="HB103" s="450"/>
      <c r="HC103" s="450"/>
      <c r="HD103" s="450"/>
      <c r="HE103" s="450"/>
      <c r="HF103" s="450"/>
      <c r="HG103" s="450"/>
      <c r="HH103" s="450"/>
      <c r="HI103" s="450"/>
      <c r="HJ103" s="450"/>
      <c r="HK103" s="450"/>
      <c r="HL103" s="450"/>
      <c r="HM103" s="450"/>
      <c r="HN103" s="450"/>
      <c r="HO103" s="450"/>
      <c r="HP103" s="450"/>
      <c r="HQ103" s="450"/>
      <c r="HR103" s="450"/>
      <c r="HS103" s="450"/>
      <c r="HT103" s="450"/>
      <c r="HU103" s="450"/>
      <c r="HV103" s="450"/>
      <c r="HW103" s="450"/>
      <c r="HX103" s="450"/>
      <c r="HY103" s="450"/>
      <c r="HZ103" s="450"/>
      <c r="IA103" s="450"/>
      <c r="IB103" s="450"/>
      <c r="IC103" s="450"/>
      <c r="ID103" s="450"/>
      <c r="IE103" s="450"/>
      <c r="IF103" s="450"/>
      <c r="IG103" s="450"/>
      <c r="IH103" s="450"/>
      <c r="II103" s="450"/>
      <c r="IJ103" s="450"/>
      <c r="IK103" s="450"/>
      <c r="IL103" s="450"/>
      <c r="IM103" s="450"/>
      <c r="IN103" s="450"/>
      <c r="IO103" s="450"/>
      <c r="IP103" s="450"/>
      <c r="IQ103" s="450"/>
      <c r="IR103" s="450"/>
      <c r="IS103" s="450"/>
      <c r="IT103" s="450"/>
      <c r="IU103" s="450"/>
      <c r="IV103" s="450"/>
      <c r="IW103" s="450"/>
      <c r="IX103" s="450"/>
      <c r="IY103" s="450"/>
      <c r="IZ103" s="450"/>
      <c r="JA103" s="450"/>
      <c r="JB103" s="450"/>
      <c r="JC103" s="450"/>
      <c r="JD103" s="450"/>
      <c r="JE103" s="450"/>
      <c r="JF103" s="450"/>
      <c r="JG103" s="450"/>
      <c r="JH103" s="450"/>
      <c r="JI103" s="450"/>
      <c r="JJ103" s="450"/>
      <c r="JK103" s="450"/>
      <c r="JL103" s="450"/>
      <c r="JM103" s="450"/>
      <c r="JN103" s="450"/>
      <c r="JO103" s="450"/>
      <c r="JP103" s="450"/>
      <c r="JQ103" s="450"/>
      <c r="JR103" s="450"/>
      <c r="JS103" s="450"/>
      <c r="JT103" s="450"/>
      <c r="JU103" s="450"/>
      <c r="JV103" s="450"/>
      <c r="JW103" s="450"/>
      <c r="JX103" s="450"/>
      <c r="JY103" s="450"/>
      <c r="JZ103" s="450"/>
      <c r="KA103" s="450"/>
      <c r="KB103" s="450"/>
      <c r="KC103" s="450"/>
      <c r="KD103" s="450"/>
      <c r="KE103" s="450"/>
      <c r="KF103" s="450"/>
      <c r="KG103" s="450"/>
      <c r="KH103" s="450"/>
      <c r="KI103" s="450"/>
      <c r="KJ103" s="450"/>
      <c r="KK103" s="450"/>
      <c r="KL103" s="450"/>
      <c r="KM103" s="450"/>
      <c r="KN103" s="450"/>
      <c r="KO103" s="450"/>
      <c r="KP103" s="450"/>
      <c r="KQ103" s="450"/>
      <c r="KR103" s="450"/>
      <c r="KS103" s="450"/>
      <c r="KT103" s="450"/>
      <c r="KU103" s="450"/>
      <c r="KV103" s="450"/>
      <c r="KW103" s="450"/>
      <c r="KX103" s="450"/>
      <c r="KY103" s="450"/>
      <c r="KZ103" s="450"/>
      <c r="LA103" s="450"/>
      <c r="LB103" s="450"/>
      <c r="LC103" s="450"/>
      <c r="LD103" s="450"/>
      <c r="LE103" s="450"/>
      <c r="LF103" s="450"/>
      <c r="LG103" s="450"/>
      <c r="LH103" s="450"/>
      <c r="LI103" s="450"/>
      <c r="LJ103" s="450"/>
      <c r="LK103" s="450"/>
      <c r="LL103" s="450"/>
      <c r="LM103" s="450"/>
      <c r="LN103" s="450"/>
      <c r="LO103" s="450"/>
      <c r="LP103" s="450"/>
      <c r="LQ103" s="450"/>
      <c r="LR103" s="450"/>
      <c r="LS103" s="450"/>
      <c r="LT103" s="450"/>
      <c r="LU103" s="450"/>
      <c r="LV103" s="450"/>
      <c r="LW103" s="450"/>
      <c r="LX103" s="450"/>
      <c r="LY103" s="450"/>
      <c r="LZ103" s="450"/>
      <c r="MA103" s="450"/>
      <c r="MB103" s="450"/>
      <c r="MC103" s="450"/>
      <c r="MD103" s="450"/>
      <c r="ME103" s="450"/>
      <c r="MF103" s="450"/>
      <c r="MG103" s="450"/>
      <c r="MH103" s="450"/>
      <c r="MI103" s="450"/>
      <c r="MJ103" s="450"/>
      <c r="MK103" s="450"/>
      <c r="ML103" s="450"/>
      <c r="MM103" s="450"/>
      <c r="MN103" s="450"/>
      <c r="MO103" s="450"/>
      <c r="MP103" s="450"/>
      <c r="MQ103" s="450"/>
      <c r="MR103" s="450"/>
      <c r="MS103" s="450"/>
      <c r="MT103" s="450"/>
      <c r="MU103" s="450"/>
      <c r="MV103" s="450"/>
      <c r="MW103" s="450"/>
      <c r="MX103" s="450"/>
      <c r="MY103" s="450"/>
      <c r="MZ103" s="450"/>
      <c r="NA103" s="450"/>
      <c r="NB103" s="450"/>
      <c r="NC103" s="450"/>
      <c r="ND103" s="450"/>
      <c r="NE103" s="450"/>
      <c r="NF103" s="450"/>
      <c r="NG103" s="450"/>
      <c r="NH103" s="450"/>
      <c r="NI103" s="450"/>
      <c r="NJ103" s="450"/>
      <c r="NK103" s="450"/>
      <c r="NL103" s="450"/>
      <c r="NM103" s="450"/>
      <c r="NN103" s="450"/>
      <c r="NO103" s="450"/>
      <c r="NP103" s="450"/>
      <c r="NQ103" s="450"/>
      <c r="NR103" s="450"/>
      <c r="NS103" s="450"/>
      <c r="NT103" s="450"/>
      <c r="NU103" s="450"/>
      <c r="NV103" s="450"/>
      <c r="NW103" s="450"/>
      <c r="NX103" s="450"/>
      <c r="NY103" s="450"/>
      <c r="NZ103" s="450"/>
      <c r="OA103" s="450"/>
      <c r="OB103" s="450"/>
      <c r="OC103" s="450"/>
      <c r="OD103" s="450"/>
      <c r="OE103" s="450"/>
      <c r="OF103" s="450"/>
      <c r="OG103" s="450"/>
      <c r="OH103" s="450"/>
      <c r="OI103" s="450"/>
      <c r="OJ103" s="450"/>
      <c r="OK103" s="450"/>
      <c r="OL103" s="450"/>
      <c r="OM103" s="450"/>
      <c r="ON103" s="450"/>
      <c r="OO103" s="450"/>
      <c r="OP103" s="450"/>
      <c r="OQ103" s="450"/>
      <c r="OR103" s="450"/>
      <c r="OS103" s="450"/>
      <c r="OT103" s="450"/>
      <c r="OU103" s="450"/>
      <c r="OV103" s="450"/>
      <c r="OW103" s="450"/>
      <c r="OX103" s="450"/>
      <c r="OY103" s="450"/>
      <c r="OZ103" s="450"/>
      <c r="PA103" s="450"/>
      <c r="PB103" s="450"/>
      <c r="PC103" s="450"/>
      <c r="PD103" s="450"/>
      <c r="PE103" s="450"/>
      <c r="PF103" s="450"/>
      <c r="PG103" s="450"/>
      <c r="PH103" s="450"/>
      <c r="PI103" s="450"/>
      <c r="PJ103" s="450"/>
      <c r="PK103" s="450"/>
      <c r="PL103" s="450"/>
      <c r="PM103" s="450"/>
      <c r="PN103" s="450"/>
      <c r="PO103" s="450"/>
      <c r="PP103" s="450"/>
      <c r="PQ103" s="450"/>
      <c r="PR103" s="450"/>
      <c r="PS103" s="450"/>
      <c r="PT103" s="450"/>
      <c r="PU103" s="450"/>
      <c r="PV103" s="450"/>
      <c r="PW103" s="450"/>
      <c r="PX103" s="450"/>
      <c r="PY103" s="450"/>
      <c r="PZ103" s="450"/>
      <c r="QA103" s="450"/>
      <c r="QB103" s="450"/>
      <c r="QC103" s="450"/>
      <c r="QD103" s="450"/>
      <c r="QE103" s="450"/>
      <c r="QF103" s="450"/>
      <c r="QG103" s="450"/>
      <c r="QH103" s="450"/>
      <c r="QI103" s="450"/>
      <c r="QJ103" s="450"/>
      <c r="QK103" s="450"/>
      <c r="QL103" s="450"/>
      <c r="QM103" s="450"/>
      <c r="QN103" s="450"/>
      <c r="QO103" s="450"/>
      <c r="QP103" s="450"/>
      <c r="QQ103" s="450"/>
      <c r="QR103" s="450"/>
      <c r="QS103" s="450"/>
      <c r="QT103" s="450"/>
      <c r="QU103" s="450"/>
      <c r="QV103" s="450"/>
      <c r="QW103" s="450"/>
      <c r="QX103" s="450"/>
      <c r="QY103" s="450"/>
      <c r="QZ103" s="450"/>
      <c r="RA103" s="450"/>
      <c r="RB103" s="450"/>
      <c r="RC103" s="450"/>
      <c r="RD103" s="450"/>
      <c r="RE103" s="450"/>
      <c r="RF103" s="450"/>
      <c r="RG103" s="450"/>
      <c r="RH103" s="450"/>
      <c r="RI103" s="450"/>
      <c r="RJ103" s="450"/>
      <c r="RK103" s="450"/>
      <c r="RL103" s="450"/>
      <c r="RM103" s="450"/>
      <c r="RN103" s="450"/>
      <c r="RO103" s="450"/>
      <c r="RP103" s="450"/>
      <c r="RQ103" s="450"/>
      <c r="RR103" s="450"/>
      <c r="RS103" s="450"/>
      <c r="RT103" s="450"/>
      <c r="RU103" s="450"/>
      <c r="RV103" s="450"/>
      <c r="RW103" s="450"/>
      <c r="RX103" s="450"/>
      <c r="RY103" s="450"/>
      <c r="RZ103" s="450"/>
      <c r="SA103" s="450"/>
      <c r="SB103" s="450"/>
      <c r="SC103" s="450"/>
      <c r="SD103" s="450"/>
      <c r="SE103" s="450"/>
      <c r="SF103" s="450"/>
      <c r="SG103" s="450"/>
      <c r="SH103" s="450"/>
      <c r="SI103" s="450"/>
      <c r="SJ103" s="450"/>
      <c r="SK103" s="450"/>
      <c r="SL103" s="450"/>
      <c r="SM103" s="450"/>
      <c r="SN103" s="450"/>
      <c r="SO103" s="450"/>
      <c r="SP103" s="450"/>
      <c r="SQ103" s="450"/>
      <c r="SR103" s="450"/>
      <c r="SS103" s="450"/>
      <c r="ST103" s="450"/>
      <c r="SU103" s="450"/>
      <c r="SV103" s="450"/>
      <c r="SW103" s="450"/>
      <c r="SX103" s="450"/>
      <c r="SY103" s="450"/>
      <c r="SZ103" s="450"/>
      <c r="TA103" s="450"/>
      <c r="TB103" s="450"/>
      <c r="TC103" s="450"/>
      <c r="TD103" s="450"/>
      <c r="TE103" s="450"/>
      <c r="TF103" s="450"/>
      <c r="TG103" s="450"/>
      <c r="TH103" s="450"/>
      <c r="TI103" s="450"/>
      <c r="TJ103" s="450"/>
      <c r="TK103" s="450"/>
      <c r="TL103" s="450"/>
      <c r="TM103" s="450"/>
      <c r="TN103" s="450"/>
      <c r="TO103" s="450"/>
      <c r="TP103" s="450"/>
      <c r="TQ103" s="450"/>
      <c r="TR103" s="450"/>
      <c r="TS103" s="450"/>
      <c r="TT103" s="450"/>
      <c r="TU103" s="450"/>
      <c r="TV103" s="450"/>
      <c r="TW103" s="450"/>
      <c r="TX103" s="450"/>
      <c r="TY103" s="450"/>
      <c r="TZ103" s="450"/>
      <c r="UA103" s="450"/>
      <c r="UB103" s="450"/>
      <c r="UC103" s="450"/>
      <c r="UD103" s="450"/>
      <c r="UE103" s="450"/>
      <c r="UF103" s="450"/>
      <c r="UG103" s="450"/>
      <c r="UH103" s="450"/>
      <c r="UI103" s="450"/>
      <c r="UJ103" s="450"/>
      <c r="UK103" s="450"/>
      <c r="UL103" s="450"/>
      <c r="UM103" s="450"/>
      <c r="UN103" s="450"/>
      <c r="UO103" s="450"/>
      <c r="UP103" s="450"/>
      <c r="UQ103" s="450"/>
      <c r="UR103" s="450"/>
      <c r="US103" s="450"/>
      <c r="UT103" s="450"/>
      <c r="UU103" s="450"/>
      <c r="UV103" s="450"/>
      <c r="UW103" s="450"/>
      <c r="UX103" s="450"/>
      <c r="UY103" s="450"/>
      <c r="UZ103" s="450"/>
      <c r="VA103" s="450"/>
      <c r="VB103" s="450"/>
      <c r="VC103" s="450"/>
      <c r="VD103" s="450"/>
      <c r="VE103" s="450"/>
      <c r="VF103" s="450"/>
      <c r="VG103" s="450"/>
      <c r="VH103" s="450"/>
      <c r="VI103" s="450"/>
      <c r="VJ103" s="450"/>
      <c r="VK103" s="450"/>
      <c r="VL103" s="450"/>
      <c r="VM103" s="450"/>
      <c r="VN103" s="450"/>
      <c r="VO103" s="450"/>
      <c r="VP103" s="450"/>
      <c r="VQ103" s="450"/>
      <c r="VR103" s="450"/>
      <c r="VS103" s="450"/>
      <c r="VT103" s="450"/>
      <c r="VU103" s="450"/>
      <c r="VV103" s="450"/>
      <c r="VW103" s="450"/>
      <c r="VX103" s="450"/>
      <c r="VY103" s="450"/>
      <c r="VZ103" s="450"/>
      <c r="WA103" s="450"/>
      <c r="WB103" s="450"/>
      <c r="WC103" s="450"/>
      <c r="WD103" s="450"/>
      <c r="WE103" s="450"/>
      <c r="WF103" s="450"/>
      <c r="WG103" s="450"/>
      <c r="WH103" s="450"/>
      <c r="WI103" s="450"/>
      <c r="WJ103" s="450"/>
      <c r="WK103" s="450"/>
      <c r="WL103" s="450"/>
      <c r="WM103" s="450"/>
      <c r="WN103" s="450"/>
      <c r="WO103" s="450"/>
      <c r="WP103" s="450"/>
      <c r="WQ103" s="450"/>
      <c r="WR103" s="450"/>
      <c r="WS103" s="450"/>
      <c r="WT103" s="450"/>
      <c r="WU103" s="450"/>
      <c r="WV103" s="450"/>
      <c r="WW103" s="450"/>
      <c r="WX103" s="450"/>
      <c r="WY103" s="450"/>
      <c r="WZ103" s="450"/>
      <c r="XA103" s="450"/>
      <c r="XB103" s="450"/>
      <c r="XC103" s="450"/>
      <c r="XD103" s="450"/>
      <c r="XE103" s="450"/>
      <c r="XF103" s="450"/>
      <c r="XG103" s="450"/>
      <c r="XH103" s="450"/>
      <c r="XI103" s="450"/>
      <c r="XJ103" s="450"/>
      <c r="XK103" s="450"/>
      <c r="XL103" s="450"/>
      <c r="XM103" s="450"/>
      <c r="XN103" s="450"/>
      <c r="XO103" s="450"/>
      <c r="XP103" s="450"/>
      <c r="XQ103" s="450"/>
      <c r="XR103" s="450"/>
      <c r="XS103" s="450"/>
      <c r="XT103" s="450"/>
      <c r="XU103" s="450"/>
      <c r="XV103" s="450"/>
      <c r="XW103" s="450"/>
      <c r="XX103" s="450"/>
      <c r="XY103" s="450"/>
      <c r="XZ103" s="450"/>
      <c r="YA103" s="450"/>
      <c r="YB103" s="450"/>
      <c r="YC103" s="450"/>
      <c r="YD103" s="450"/>
      <c r="YE103" s="450"/>
      <c r="YF103" s="450"/>
      <c r="YG103" s="450"/>
      <c r="YH103" s="450"/>
      <c r="YI103" s="450"/>
      <c r="YJ103" s="450"/>
      <c r="YK103" s="450"/>
      <c r="YL103" s="450"/>
      <c r="YM103" s="450"/>
      <c r="YN103" s="450"/>
      <c r="YO103" s="450"/>
      <c r="YP103" s="450"/>
      <c r="YQ103" s="450"/>
      <c r="YR103" s="450"/>
      <c r="YS103" s="450"/>
      <c r="YT103" s="450"/>
      <c r="YU103" s="450"/>
      <c r="YV103" s="450"/>
      <c r="YW103" s="450"/>
      <c r="YX103" s="450"/>
      <c r="YY103" s="450"/>
      <c r="YZ103" s="450"/>
      <c r="ZA103" s="450"/>
      <c r="ZB103" s="450"/>
      <c r="ZC103" s="450"/>
      <c r="ZD103" s="450"/>
      <c r="ZE103" s="450"/>
      <c r="ZF103" s="450"/>
      <c r="ZG103" s="450"/>
      <c r="ZH103" s="450"/>
      <c r="ZI103" s="450"/>
      <c r="ZJ103" s="450"/>
      <c r="ZK103" s="450"/>
      <c r="ZL103" s="450"/>
      <c r="ZM103" s="450"/>
      <c r="ZN103" s="450"/>
      <c r="ZO103" s="450"/>
      <c r="ZP103" s="450"/>
      <c r="ZQ103" s="450"/>
      <c r="ZR103" s="450"/>
      <c r="ZS103" s="450"/>
      <c r="ZT103" s="450"/>
      <c r="ZU103" s="450"/>
      <c r="ZV103" s="450"/>
      <c r="ZW103" s="450"/>
      <c r="ZX103" s="450"/>
      <c r="ZY103" s="450"/>
      <c r="ZZ103" s="450"/>
      <c r="AAA103" s="450"/>
      <c r="AAB103" s="450"/>
      <c r="AAC103" s="450"/>
      <c r="AAD103" s="450"/>
      <c r="AAE103" s="450"/>
      <c r="AAF103" s="450"/>
      <c r="AAG103" s="450"/>
      <c r="AAH103" s="450"/>
      <c r="AAI103" s="450"/>
      <c r="AAJ103" s="450"/>
      <c r="AAK103" s="450"/>
      <c r="AAL103" s="450"/>
      <c r="AAM103" s="450"/>
      <c r="AAN103" s="450"/>
      <c r="AAO103" s="450"/>
      <c r="AAP103" s="450"/>
      <c r="AAQ103" s="450"/>
      <c r="AAR103" s="450"/>
      <c r="AAS103" s="450"/>
      <c r="AAT103" s="450"/>
      <c r="AAU103" s="450"/>
      <c r="AAV103" s="450"/>
      <c r="AAW103" s="450"/>
      <c r="AAX103" s="450"/>
      <c r="AAY103" s="450"/>
      <c r="AAZ103" s="450"/>
      <c r="ABA103" s="450"/>
      <c r="ABB103" s="450"/>
      <c r="ABC103" s="450"/>
      <c r="ABD103" s="450"/>
      <c r="ABE103" s="450"/>
      <c r="ABF103" s="450"/>
      <c r="ABG103" s="450"/>
      <c r="ABH103" s="450"/>
      <c r="ABI103" s="450"/>
      <c r="ABJ103" s="450"/>
      <c r="ABK103" s="450"/>
      <c r="ABL103" s="450"/>
      <c r="ABM103" s="450"/>
      <c r="ABN103" s="450"/>
      <c r="ABO103" s="450"/>
      <c r="ABP103" s="450"/>
      <c r="ABQ103" s="450"/>
      <c r="ABR103" s="450"/>
      <c r="ABS103" s="450"/>
      <c r="ABT103" s="450"/>
      <c r="ABU103" s="450"/>
      <c r="ABV103" s="450"/>
      <c r="ABW103" s="450"/>
      <c r="ABX103" s="450"/>
      <c r="ABY103" s="450"/>
      <c r="ABZ103" s="450"/>
      <c r="ACA103" s="450"/>
      <c r="ACB103" s="450"/>
      <c r="ACC103" s="450"/>
      <c r="ACD103" s="450"/>
      <c r="ACE103" s="450"/>
      <c r="ACF103" s="450"/>
      <c r="ACG103" s="450"/>
      <c r="ACH103" s="450"/>
      <c r="ACI103" s="450"/>
      <c r="ACJ103" s="450"/>
      <c r="ACK103" s="450"/>
      <c r="ACL103" s="450"/>
      <c r="ACM103" s="450"/>
      <c r="ACN103" s="450"/>
      <c r="ACO103" s="450"/>
      <c r="ACP103" s="450"/>
      <c r="ACQ103" s="450"/>
      <c r="ACR103" s="450"/>
      <c r="ACS103" s="450"/>
      <c r="ACT103" s="450"/>
      <c r="ACU103" s="450"/>
      <c r="ACV103" s="450"/>
      <c r="ACW103" s="450"/>
      <c r="ACX103" s="450"/>
      <c r="ACY103" s="450"/>
      <c r="ACZ103" s="450"/>
      <c r="ADA103" s="450"/>
      <c r="ADB103" s="450"/>
      <c r="ADC103" s="450"/>
      <c r="ADD103" s="450"/>
      <c r="ADE103" s="450"/>
      <c r="ADF103" s="450"/>
      <c r="ADG103" s="450"/>
      <c r="ADH103" s="450"/>
      <c r="ADI103" s="450"/>
      <c r="ADJ103" s="450"/>
      <c r="ADK103" s="450"/>
      <c r="ADL103" s="450"/>
      <c r="ADM103" s="450"/>
      <c r="ADN103" s="450"/>
      <c r="ADO103" s="450"/>
      <c r="ADP103" s="450"/>
      <c r="ADQ103" s="450"/>
      <c r="ADR103" s="450"/>
      <c r="ADS103" s="450"/>
      <c r="ADT103" s="450"/>
      <c r="ADU103" s="450"/>
      <c r="ADV103" s="450"/>
      <c r="ADW103" s="450"/>
      <c r="ADX103" s="450"/>
      <c r="ADY103" s="450"/>
      <c r="ADZ103" s="450"/>
      <c r="AEA103" s="450"/>
      <c r="AEB103" s="450"/>
      <c r="AEC103" s="450"/>
      <c r="AED103" s="450"/>
      <c r="AEE103" s="450"/>
      <c r="AEF103" s="450"/>
      <c r="AEG103" s="450"/>
      <c r="AEH103" s="450"/>
      <c r="AEI103" s="450"/>
      <c r="AEJ103" s="450"/>
      <c r="AEK103" s="450"/>
      <c r="AEL103" s="450"/>
      <c r="AEM103" s="450"/>
      <c r="AEN103" s="450"/>
      <c r="AEO103" s="450"/>
      <c r="AEP103" s="450"/>
      <c r="AEQ103" s="450"/>
      <c r="AER103" s="450"/>
      <c r="AES103" s="450"/>
      <c r="AET103" s="450"/>
      <c r="AEU103" s="450"/>
      <c r="AEV103" s="450"/>
      <c r="AEW103" s="450"/>
      <c r="AEX103" s="450"/>
      <c r="AEY103" s="450"/>
      <c r="AEZ103" s="450"/>
      <c r="AFA103" s="450"/>
      <c r="AFB103" s="450"/>
      <c r="AFC103" s="450"/>
      <c r="AFD103" s="450"/>
      <c r="AFE103" s="450"/>
      <c r="AFF103" s="450"/>
      <c r="AFG103" s="450"/>
      <c r="AFH103" s="450"/>
      <c r="AFI103" s="450"/>
      <c r="AFJ103" s="450"/>
      <c r="AFK103" s="450"/>
      <c r="AFL103" s="450"/>
      <c r="AFM103" s="450"/>
      <c r="AFN103" s="450"/>
      <c r="AFO103" s="450"/>
      <c r="AFP103" s="450"/>
      <c r="AFQ103" s="450"/>
      <c r="AFR103" s="450"/>
      <c r="AFS103" s="450"/>
      <c r="AFT103" s="450"/>
      <c r="AFU103" s="450"/>
      <c r="AFV103" s="450"/>
      <c r="AFW103" s="450"/>
      <c r="AFX103" s="450"/>
      <c r="AFY103" s="450"/>
      <c r="AFZ103" s="450"/>
      <c r="AGA103" s="450"/>
      <c r="AGB103" s="450"/>
      <c r="AGC103" s="450"/>
      <c r="AGD103" s="450"/>
      <c r="AGE103" s="450"/>
      <c r="AGF103" s="450"/>
      <c r="AGG103" s="450"/>
      <c r="AGH103" s="450"/>
      <c r="AGI103" s="450"/>
      <c r="AGJ103" s="450"/>
      <c r="AGK103" s="450"/>
      <c r="AGL103" s="450"/>
      <c r="AGM103" s="450"/>
      <c r="AGN103" s="450"/>
      <c r="AGO103" s="450"/>
      <c r="AGP103" s="450"/>
      <c r="AGQ103" s="450"/>
      <c r="AGR103" s="450"/>
      <c r="AGS103" s="450"/>
      <c r="AGT103" s="450"/>
      <c r="AGU103" s="450"/>
      <c r="AGV103" s="450"/>
      <c r="AGW103" s="450"/>
      <c r="AGX103" s="450"/>
      <c r="AGY103" s="450"/>
      <c r="AGZ103" s="450"/>
      <c r="AHA103" s="450"/>
      <c r="AHB103" s="450"/>
      <c r="AHC103" s="450"/>
      <c r="AHD103" s="450"/>
      <c r="AHE103" s="450"/>
      <c r="AHF103" s="450"/>
      <c r="AHG103" s="450"/>
      <c r="AHH103" s="450"/>
      <c r="AHI103" s="450"/>
      <c r="AHJ103" s="450"/>
      <c r="AHK103" s="450"/>
      <c r="AHL103" s="450"/>
      <c r="AHM103" s="450"/>
      <c r="AHN103" s="450"/>
      <c r="AHO103" s="450"/>
      <c r="AHP103" s="450"/>
      <c r="AHQ103" s="450"/>
      <c r="AHR103" s="450"/>
      <c r="AHS103" s="450"/>
      <c r="AHT103" s="450"/>
      <c r="AHU103" s="450"/>
      <c r="AHV103" s="450"/>
      <c r="AHW103" s="450"/>
      <c r="AHX103" s="450"/>
      <c r="AHY103" s="450"/>
      <c r="AHZ103" s="450"/>
      <c r="AIA103" s="450"/>
      <c r="AIB103" s="450"/>
      <c r="AIC103" s="450"/>
      <c r="AID103" s="450"/>
      <c r="AIE103" s="450"/>
      <c r="AIF103" s="450"/>
      <c r="AIG103" s="450"/>
      <c r="AIH103" s="450"/>
      <c r="AII103" s="450"/>
      <c r="AIJ103" s="450"/>
      <c r="AIK103" s="450"/>
      <c r="AIL103" s="450"/>
      <c r="AIM103" s="450"/>
      <c r="AIN103" s="450"/>
      <c r="AIO103" s="450"/>
      <c r="AIP103" s="450"/>
      <c r="AIQ103" s="450"/>
      <c r="AIR103" s="450"/>
      <c r="AIS103" s="450"/>
      <c r="AIT103" s="450"/>
      <c r="AIU103" s="450"/>
      <c r="AIV103" s="450"/>
      <c r="AIW103" s="450"/>
      <c r="AIX103" s="450"/>
      <c r="AIY103" s="450"/>
      <c r="AIZ103" s="450"/>
      <c r="AJA103" s="450"/>
      <c r="AJB103" s="450"/>
      <c r="AJC103" s="450"/>
      <c r="AJD103" s="450"/>
      <c r="AJE103" s="450"/>
      <c r="AJF103" s="450"/>
      <c r="AJG103" s="450"/>
      <c r="AJH103" s="450"/>
      <c r="AJI103" s="450"/>
      <c r="AJJ103" s="450"/>
      <c r="AJK103" s="450"/>
      <c r="AJL103" s="450"/>
      <c r="AJM103" s="450"/>
      <c r="AJN103" s="450"/>
      <c r="AJO103" s="450"/>
      <c r="AJP103" s="450"/>
      <c r="AJQ103" s="450"/>
      <c r="AJR103" s="450"/>
      <c r="AJS103" s="450"/>
      <c r="AJT103" s="450"/>
      <c r="AJU103" s="450"/>
      <c r="AJV103" s="450"/>
      <c r="AJW103" s="450"/>
      <c r="AJX103" s="450"/>
      <c r="AJY103" s="450"/>
      <c r="AJZ103" s="450"/>
      <c r="AKA103" s="450"/>
      <c r="AKB103" s="450"/>
      <c r="AKC103" s="450"/>
      <c r="AKD103" s="450"/>
      <c r="AKE103" s="450"/>
      <c r="AKF103" s="450"/>
      <c r="AKG103" s="450"/>
      <c r="AKH103" s="450"/>
      <c r="AKI103" s="450"/>
      <c r="AKJ103" s="450"/>
      <c r="AKK103" s="450"/>
      <c r="AKL103" s="450"/>
      <c r="AKM103" s="450"/>
      <c r="AKN103" s="450"/>
      <c r="AKO103" s="450"/>
      <c r="AKP103" s="450"/>
      <c r="AKQ103" s="450"/>
      <c r="AKR103" s="450"/>
      <c r="AKS103" s="450"/>
      <c r="AKT103" s="450"/>
      <c r="AKU103" s="450"/>
      <c r="AKV103" s="450"/>
      <c r="AKW103" s="450"/>
      <c r="AKX103" s="450"/>
      <c r="AKY103" s="450"/>
      <c r="AKZ103" s="450"/>
      <c r="ALA103" s="450"/>
      <c r="ALB103" s="450"/>
      <c r="ALC103" s="450"/>
      <c r="ALD103" s="450"/>
      <c r="ALE103" s="450"/>
      <c r="ALF103" s="450"/>
      <c r="ALG103" s="450"/>
      <c r="ALH103" s="450"/>
      <c r="ALI103" s="450"/>
      <c r="ALJ103" s="450"/>
      <c r="ALK103" s="450"/>
      <c r="ALL103" s="450"/>
      <c r="ALM103" s="450"/>
      <c r="ALN103" s="450"/>
      <c r="ALO103" s="450"/>
      <c r="ALP103" s="450"/>
      <c r="ALQ103" s="450"/>
      <c r="ALR103" s="450"/>
      <c r="ALS103" s="450"/>
      <c r="ALT103" s="450"/>
      <c r="ALU103" s="450"/>
      <c r="ALV103" s="450"/>
      <c r="ALW103" s="450"/>
      <c r="ALX103" s="450"/>
      <c r="ALY103" s="450"/>
      <c r="ALZ103" s="450"/>
      <c r="AMA103" s="450"/>
      <c r="AMB103" s="450"/>
      <c r="AMC103" s="450"/>
      <c r="AMD103" s="450"/>
      <c r="AME103" s="450"/>
      <c r="AMF103" s="450"/>
      <c r="AMG103" s="450"/>
      <c r="AMH103" s="450"/>
      <c r="AMI103" s="450"/>
      <c r="AMJ103" s="450"/>
      <c r="AMK103" s="450"/>
      <c r="AML103" s="450"/>
      <c r="AMM103" s="450"/>
      <c r="AMN103" s="450"/>
      <c r="AMO103" s="450"/>
      <c r="AMP103" s="450"/>
      <c r="AMQ103" s="450"/>
      <c r="AMR103" s="450"/>
      <c r="AMS103" s="450"/>
      <c r="AMT103" s="450"/>
      <c r="AMU103" s="450"/>
      <c r="AMV103" s="450"/>
      <c r="AMW103" s="450"/>
      <c r="AMX103" s="450"/>
      <c r="AMY103" s="450"/>
      <c r="AMZ103" s="450"/>
      <c r="ANA103" s="450"/>
      <c r="ANB103" s="450"/>
      <c r="ANC103" s="450"/>
      <c r="AND103" s="450"/>
      <c r="ANE103" s="450"/>
      <c r="ANF103" s="450"/>
      <c r="ANG103" s="450"/>
      <c r="ANH103" s="450"/>
      <c r="ANI103" s="450"/>
      <c r="ANJ103" s="450"/>
      <c r="ANK103" s="450"/>
      <c r="ANL103" s="450"/>
      <c r="ANM103" s="450"/>
      <c r="ANN103" s="450"/>
      <c r="ANO103" s="450"/>
      <c r="ANP103" s="450"/>
      <c r="ANQ103" s="450"/>
      <c r="ANR103" s="450"/>
      <c r="ANS103" s="450"/>
      <c r="ANT103" s="450"/>
      <c r="ANU103" s="450"/>
      <c r="ANV103" s="450"/>
      <c r="ANW103" s="450"/>
      <c r="ANX103" s="450"/>
      <c r="ANY103" s="450"/>
      <c r="ANZ103" s="450"/>
      <c r="AOA103" s="450"/>
      <c r="AOB103" s="450"/>
      <c r="AOC103" s="450"/>
      <c r="AOD103" s="450"/>
      <c r="AOE103" s="450"/>
      <c r="AOF103" s="450"/>
      <c r="AOG103" s="450"/>
      <c r="AOH103" s="450"/>
      <c r="AOI103" s="450"/>
      <c r="AOJ103" s="450"/>
      <c r="AOK103" s="450"/>
      <c r="AOL103" s="450"/>
      <c r="AOM103" s="450"/>
      <c r="AON103" s="450"/>
      <c r="AOO103" s="450"/>
      <c r="AOP103" s="450"/>
      <c r="AOQ103" s="450"/>
      <c r="AOR103" s="450"/>
      <c r="AOS103" s="450"/>
      <c r="AOT103" s="450"/>
      <c r="AOU103" s="450"/>
      <c r="AOV103" s="450"/>
      <c r="AOW103" s="450"/>
      <c r="AOX103" s="450"/>
      <c r="AOY103" s="450"/>
      <c r="AOZ103" s="450"/>
      <c r="APA103" s="450"/>
      <c r="APB103" s="450"/>
      <c r="APC103" s="450"/>
      <c r="APD103" s="450"/>
      <c r="APE103" s="450"/>
      <c r="APF103" s="450"/>
      <c r="APG103" s="450"/>
      <c r="APH103" s="450"/>
      <c r="API103" s="450"/>
      <c r="APJ103" s="450"/>
      <c r="APK103" s="450"/>
      <c r="APL103" s="450"/>
      <c r="APM103" s="450"/>
      <c r="APN103" s="450"/>
      <c r="APO103" s="450"/>
      <c r="APP103" s="450"/>
      <c r="APQ103" s="450"/>
      <c r="APR103" s="450"/>
      <c r="APS103" s="450"/>
      <c r="APT103" s="450"/>
      <c r="APU103" s="450"/>
      <c r="APV103" s="450"/>
      <c r="APW103" s="450"/>
      <c r="APX103" s="450"/>
      <c r="APY103" s="450"/>
      <c r="APZ103" s="450"/>
      <c r="AQA103" s="450"/>
      <c r="AQB103" s="450"/>
      <c r="AQC103" s="450"/>
      <c r="AQD103" s="450"/>
      <c r="AQE103" s="450"/>
      <c r="AQF103" s="450"/>
      <c r="AQG103" s="450"/>
      <c r="AQH103" s="450"/>
      <c r="AQI103" s="450"/>
      <c r="AQJ103" s="450"/>
      <c r="AQK103" s="450"/>
      <c r="AQL103" s="450"/>
      <c r="AQM103" s="450"/>
      <c r="AQN103" s="450"/>
      <c r="AQO103" s="450"/>
      <c r="AQP103" s="450"/>
      <c r="AQQ103" s="450"/>
      <c r="AQR103" s="450"/>
      <c r="AQS103" s="450"/>
      <c r="AQT103" s="450"/>
      <c r="AQU103" s="450"/>
      <c r="AQV103" s="450"/>
      <c r="AQW103" s="450"/>
      <c r="AQX103" s="450"/>
      <c r="AQY103" s="450"/>
      <c r="AQZ103" s="450"/>
      <c r="ARA103" s="450"/>
      <c r="ARB103" s="450"/>
      <c r="ARC103" s="450"/>
      <c r="ARD103" s="450"/>
      <c r="ARE103" s="450"/>
      <c r="ARF103" s="450"/>
      <c r="ARG103" s="450"/>
      <c r="ARH103" s="450"/>
      <c r="ARI103" s="450"/>
      <c r="ARJ103" s="450"/>
      <c r="ARK103" s="450"/>
      <c r="ARL103" s="450"/>
      <c r="ARM103" s="450"/>
      <c r="ARN103" s="450"/>
      <c r="ARO103" s="450"/>
      <c r="ARP103" s="450"/>
      <c r="ARQ103" s="450"/>
      <c r="ARR103" s="450"/>
      <c r="ARS103" s="450"/>
      <c r="ART103" s="450"/>
      <c r="ARU103" s="450"/>
      <c r="ARV103" s="450"/>
      <c r="ARW103" s="450"/>
      <c r="ARX103" s="450"/>
      <c r="ARY103" s="450"/>
      <c r="ARZ103" s="450"/>
      <c r="ASA103" s="450"/>
      <c r="ASB103" s="450"/>
      <c r="ASC103" s="450"/>
      <c r="ASD103" s="450"/>
      <c r="ASE103" s="450"/>
      <c r="ASF103" s="450"/>
      <c r="ASG103" s="450"/>
      <c r="ASH103" s="450"/>
      <c r="ASI103" s="450"/>
      <c r="ASJ103" s="450"/>
      <c r="ASK103" s="450"/>
      <c r="ASL103" s="450"/>
      <c r="ASM103" s="450"/>
      <c r="ASN103" s="450"/>
      <c r="ASO103" s="450"/>
      <c r="ASP103" s="450"/>
      <c r="ASQ103" s="450"/>
      <c r="ASR103" s="450"/>
      <c r="ASS103" s="450"/>
      <c r="AST103" s="450"/>
      <c r="ASU103" s="450"/>
      <c r="ASV103" s="450"/>
      <c r="ASW103" s="450"/>
      <c r="ASX103" s="450"/>
      <c r="ASY103" s="450"/>
      <c r="ASZ103" s="450"/>
      <c r="ATA103" s="450"/>
      <c r="ATB103" s="450"/>
      <c r="ATC103" s="450"/>
      <c r="ATD103" s="450"/>
      <c r="ATE103" s="450"/>
      <c r="ATF103" s="450"/>
      <c r="ATG103" s="450"/>
      <c r="ATH103" s="450"/>
      <c r="ATI103" s="450"/>
      <c r="ATJ103" s="450"/>
      <c r="ATK103" s="450"/>
      <c r="ATL103" s="450"/>
      <c r="ATM103" s="450"/>
      <c r="ATN103" s="450"/>
      <c r="ATO103" s="450"/>
      <c r="ATP103" s="450"/>
      <c r="ATQ103" s="450"/>
      <c r="ATR103" s="450"/>
      <c r="ATS103" s="450"/>
      <c r="ATT103" s="450"/>
      <c r="ATU103" s="450"/>
      <c r="ATV103" s="450"/>
      <c r="ATW103" s="450"/>
      <c r="ATX103" s="450"/>
      <c r="ATY103" s="450"/>
      <c r="ATZ103" s="450"/>
      <c r="AUA103" s="450"/>
      <c r="AUB103" s="450"/>
      <c r="AUC103" s="450"/>
      <c r="AUD103" s="450"/>
      <c r="AUE103" s="450"/>
      <c r="AUF103" s="450"/>
      <c r="AUG103" s="450"/>
      <c r="AUH103" s="450"/>
      <c r="AUI103" s="450"/>
      <c r="AUJ103" s="450"/>
      <c r="AUK103" s="450"/>
      <c r="AUL103" s="450"/>
      <c r="AUM103" s="450"/>
      <c r="AUN103" s="450"/>
      <c r="AUO103" s="450"/>
      <c r="AUP103" s="450"/>
      <c r="AUQ103" s="450"/>
      <c r="AUR103" s="450"/>
      <c r="AUS103" s="450"/>
      <c r="AUT103" s="450"/>
      <c r="AUU103" s="450"/>
      <c r="AUV103" s="450"/>
      <c r="AUW103" s="450"/>
      <c r="AUX103" s="450"/>
      <c r="AUY103" s="450"/>
      <c r="AUZ103" s="450"/>
      <c r="AVA103" s="450"/>
      <c r="AVB103" s="450"/>
      <c r="AVC103" s="450"/>
      <c r="AVD103" s="450"/>
      <c r="AVE103" s="450"/>
      <c r="AVF103" s="450"/>
      <c r="AVG103" s="450"/>
      <c r="AVH103" s="450"/>
      <c r="AVI103" s="450"/>
      <c r="AVJ103" s="450"/>
      <c r="AVK103" s="450"/>
      <c r="AVL103" s="450"/>
      <c r="AVM103" s="450"/>
      <c r="AVN103" s="450"/>
      <c r="AVO103" s="450"/>
      <c r="AVP103" s="450"/>
      <c r="AVQ103" s="450"/>
      <c r="AVR103" s="450"/>
      <c r="AVS103" s="450"/>
      <c r="AVT103" s="450"/>
      <c r="AVU103" s="450"/>
      <c r="AVV103" s="450"/>
      <c r="AVW103" s="450"/>
      <c r="AVX103" s="450"/>
      <c r="AVY103" s="450"/>
      <c r="AVZ103" s="450"/>
      <c r="AWA103" s="450"/>
      <c r="AWB103" s="450"/>
      <c r="AWC103" s="450"/>
      <c r="AWD103" s="450"/>
      <c r="AWE103" s="450"/>
      <c r="AWF103" s="450"/>
      <c r="AWG103" s="450"/>
      <c r="AWH103" s="450"/>
      <c r="AWI103" s="450"/>
      <c r="AWJ103" s="450"/>
      <c r="AWK103" s="450"/>
      <c r="AWL103" s="450"/>
      <c r="AWM103" s="450"/>
      <c r="AWN103" s="450"/>
      <c r="AWO103" s="450"/>
      <c r="AWP103" s="450"/>
      <c r="AWQ103" s="450"/>
      <c r="AWR103" s="450"/>
      <c r="AWS103" s="450"/>
      <c r="AWT103" s="450"/>
      <c r="AWU103" s="450"/>
      <c r="AWV103" s="450"/>
      <c r="AWW103" s="450"/>
      <c r="AWX103" s="450"/>
      <c r="AWY103" s="450"/>
      <c r="AWZ103" s="450"/>
      <c r="AXA103" s="450"/>
      <c r="AXB103" s="450"/>
      <c r="AXC103" s="450"/>
      <c r="AXD103" s="450"/>
      <c r="AXE103" s="450"/>
      <c r="AXF103" s="450"/>
      <c r="AXG103" s="450"/>
      <c r="AXH103" s="450"/>
      <c r="AXI103" s="450"/>
      <c r="AXJ103" s="450"/>
      <c r="AXK103" s="450"/>
      <c r="AXL103" s="450"/>
      <c r="AXM103" s="450"/>
      <c r="AXN103" s="450"/>
      <c r="AXO103" s="450"/>
      <c r="AXP103" s="450"/>
      <c r="AXQ103" s="450"/>
      <c r="AXR103" s="450"/>
      <c r="AXS103" s="450"/>
      <c r="AXT103" s="450"/>
      <c r="AXU103" s="450"/>
      <c r="AXV103" s="450"/>
      <c r="AXW103" s="450"/>
      <c r="AXX103" s="450"/>
      <c r="AXY103" s="450"/>
      <c r="AXZ103" s="450"/>
      <c r="AYA103" s="450"/>
      <c r="AYB103" s="450"/>
      <c r="AYC103" s="450"/>
      <c r="AYD103" s="450"/>
      <c r="AYE103" s="450"/>
      <c r="AYF103" s="450"/>
      <c r="AYG103" s="450"/>
      <c r="AYH103" s="450"/>
      <c r="AYI103" s="450"/>
      <c r="AYJ103" s="450"/>
      <c r="AYK103" s="450"/>
      <c r="AYL103" s="450"/>
      <c r="AYM103" s="450"/>
      <c r="AYN103" s="450"/>
      <c r="AYO103" s="450"/>
      <c r="AYP103" s="450"/>
      <c r="AYQ103" s="450"/>
      <c r="AYR103" s="450"/>
      <c r="AYS103" s="450"/>
      <c r="AYT103" s="450"/>
      <c r="AYU103" s="450"/>
      <c r="AYV103" s="450"/>
      <c r="AYW103" s="450"/>
      <c r="AYX103" s="450"/>
      <c r="AYY103" s="450"/>
      <c r="AYZ103" s="450"/>
      <c r="AZA103" s="450"/>
      <c r="AZB103" s="450"/>
      <c r="AZC103" s="450"/>
      <c r="AZD103" s="450"/>
      <c r="AZE103" s="450"/>
      <c r="AZF103" s="450"/>
      <c r="AZG103" s="450"/>
      <c r="AZH103" s="450"/>
      <c r="AZI103" s="450"/>
      <c r="AZJ103" s="450"/>
      <c r="AZK103" s="450"/>
      <c r="AZL103" s="450"/>
      <c r="AZM103" s="450"/>
      <c r="AZN103" s="450"/>
      <c r="AZO103" s="450"/>
      <c r="AZP103" s="450"/>
      <c r="AZQ103" s="450"/>
      <c r="AZR103" s="450"/>
      <c r="AZS103" s="450"/>
      <c r="AZT103" s="450"/>
      <c r="AZU103" s="450"/>
      <c r="AZV103" s="450"/>
      <c r="AZW103" s="450"/>
      <c r="AZX103" s="450"/>
      <c r="AZY103" s="450"/>
      <c r="AZZ103" s="450"/>
      <c r="BAA103" s="450"/>
      <c r="BAB103" s="450"/>
      <c r="BAC103" s="450"/>
      <c r="BAD103" s="450"/>
      <c r="BAE103" s="450"/>
      <c r="BAF103" s="450"/>
      <c r="BAG103" s="450"/>
      <c r="BAH103" s="450"/>
      <c r="BAI103" s="450"/>
      <c r="BAJ103" s="450"/>
      <c r="BAK103" s="450"/>
      <c r="BAL103" s="450"/>
      <c r="BAM103" s="450"/>
      <c r="BAN103" s="450"/>
      <c r="BAO103" s="450"/>
      <c r="BAP103" s="450"/>
      <c r="BAQ103" s="450"/>
      <c r="BAR103" s="450"/>
      <c r="BAS103" s="450"/>
      <c r="BAT103" s="450"/>
      <c r="BAU103" s="450"/>
      <c r="BAV103" s="450"/>
      <c r="BAW103" s="450"/>
      <c r="BAX103" s="450"/>
      <c r="BAY103" s="450"/>
      <c r="BAZ103" s="450"/>
      <c r="BBA103" s="450"/>
      <c r="BBB103" s="450"/>
      <c r="BBC103" s="450"/>
      <c r="BBD103" s="450"/>
      <c r="BBE103" s="450"/>
      <c r="BBF103" s="450"/>
      <c r="BBG103" s="450"/>
      <c r="BBH103" s="450"/>
      <c r="BBI103" s="450"/>
      <c r="BBJ103" s="450"/>
      <c r="BBK103" s="450"/>
      <c r="BBL103" s="450"/>
      <c r="BBM103" s="450"/>
      <c r="BBN103" s="450"/>
      <c r="BBO103" s="450"/>
      <c r="BBP103" s="450"/>
      <c r="BBQ103" s="450"/>
      <c r="BBR103" s="450"/>
      <c r="BBS103" s="450"/>
      <c r="BBT103" s="450"/>
      <c r="BBU103" s="450"/>
      <c r="BBV103" s="450"/>
      <c r="BBW103" s="450"/>
      <c r="BBX103" s="450"/>
      <c r="BBY103" s="450"/>
      <c r="BBZ103" s="450"/>
      <c r="BCA103" s="450"/>
      <c r="BCB103" s="450"/>
      <c r="BCC103" s="450"/>
      <c r="BCD103" s="450"/>
      <c r="BCE103" s="450"/>
      <c r="BCF103" s="450"/>
      <c r="BCG103" s="450"/>
      <c r="BCH103" s="450"/>
      <c r="BCI103" s="450"/>
      <c r="BCJ103" s="450"/>
      <c r="BCK103" s="450"/>
      <c r="BCL103" s="450"/>
      <c r="BCM103" s="450"/>
      <c r="BCN103" s="450"/>
      <c r="BCO103" s="450"/>
      <c r="BCP103" s="450"/>
      <c r="BCQ103" s="450"/>
      <c r="BCR103" s="450"/>
      <c r="BCS103" s="450"/>
      <c r="BCT103" s="450"/>
      <c r="BCU103" s="450"/>
      <c r="BCV103" s="450"/>
      <c r="BCW103" s="450"/>
      <c r="BCX103" s="450"/>
      <c r="BCY103" s="450"/>
      <c r="BCZ103" s="450"/>
      <c r="BDA103" s="450"/>
      <c r="BDB103" s="450"/>
      <c r="BDC103" s="450"/>
      <c r="BDD103" s="450"/>
      <c r="BDE103" s="450"/>
      <c r="BDF103" s="450"/>
      <c r="BDG103" s="450"/>
      <c r="BDH103" s="450"/>
      <c r="BDI103" s="450"/>
      <c r="BDJ103" s="450"/>
      <c r="BDK103" s="450"/>
      <c r="BDL103" s="450"/>
      <c r="BDM103" s="450"/>
      <c r="BDN103" s="450"/>
      <c r="BDO103" s="450"/>
      <c r="BDP103" s="450"/>
      <c r="BDQ103" s="450"/>
      <c r="BDR103" s="450"/>
      <c r="BDS103" s="450"/>
      <c r="BDT103" s="450"/>
      <c r="BDU103" s="450"/>
      <c r="BDV103" s="450"/>
      <c r="BDW103" s="450"/>
      <c r="BDX103" s="450"/>
      <c r="BDY103" s="450"/>
      <c r="BDZ103" s="450"/>
      <c r="BEA103" s="450"/>
      <c r="BEB103" s="450"/>
      <c r="BEC103" s="450"/>
      <c r="BED103" s="450"/>
      <c r="BEE103" s="450"/>
      <c r="BEF103" s="450"/>
      <c r="BEG103" s="450"/>
      <c r="BEH103" s="450"/>
      <c r="BEI103" s="450"/>
      <c r="BEJ103" s="450"/>
      <c r="BEK103" s="450"/>
      <c r="BEL103" s="450"/>
      <c r="BEM103" s="450"/>
      <c r="BEN103" s="450"/>
      <c r="BEO103" s="450"/>
      <c r="BEP103" s="450"/>
      <c r="BEQ103" s="450"/>
      <c r="BER103" s="450"/>
      <c r="BES103" s="450"/>
      <c r="BET103" s="450"/>
      <c r="BEU103" s="450"/>
      <c r="BEV103" s="450"/>
      <c r="BEW103" s="450"/>
      <c r="BEX103" s="450"/>
      <c r="BEY103" s="450"/>
      <c r="BEZ103" s="450"/>
      <c r="BFA103" s="450"/>
      <c r="BFB103" s="450"/>
      <c r="BFC103" s="450"/>
      <c r="BFD103" s="450"/>
      <c r="BFE103" s="450"/>
      <c r="BFF103" s="450"/>
      <c r="BFG103" s="450"/>
      <c r="BFH103" s="450"/>
      <c r="BFI103" s="450"/>
      <c r="BFJ103" s="450"/>
      <c r="BFK103" s="450"/>
      <c r="BFL103" s="450"/>
      <c r="BFM103" s="450"/>
      <c r="BFN103" s="450"/>
      <c r="BFO103" s="450"/>
      <c r="BFP103" s="450"/>
      <c r="BFQ103" s="450"/>
      <c r="BFR103" s="450"/>
      <c r="BFS103" s="450"/>
      <c r="BFT103" s="450"/>
      <c r="BFU103" s="450"/>
      <c r="BFV103" s="450"/>
      <c r="BFW103" s="450"/>
      <c r="BFX103" s="450"/>
      <c r="BFY103" s="450"/>
      <c r="BFZ103" s="450"/>
      <c r="BGA103" s="450"/>
      <c r="BGB103" s="450"/>
      <c r="BGC103" s="450"/>
      <c r="BGD103" s="450"/>
      <c r="BGE103" s="450"/>
      <c r="BGF103" s="450"/>
      <c r="BGG103" s="450"/>
      <c r="BGH103" s="450"/>
      <c r="BGI103" s="450"/>
      <c r="BGJ103" s="450"/>
      <c r="BGK103" s="450"/>
      <c r="BGL103" s="450"/>
      <c r="BGM103" s="450"/>
      <c r="BGN103" s="450"/>
      <c r="BGO103" s="450"/>
      <c r="BGP103" s="450"/>
      <c r="BGQ103" s="450"/>
      <c r="BGR103" s="450"/>
      <c r="BGS103" s="450"/>
      <c r="BGT103" s="450"/>
      <c r="BGU103" s="450"/>
      <c r="BGV103" s="450"/>
      <c r="BGW103" s="450"/>
      <c r="BGX103" s="450"/>
      <c r="BGY103" s="450"/>
      <c r="BGZ103" s="450"/>
      <c r="BHA103" s="450"/>
      <c r="BHB103" s="450"/>
      <c r="BHC103" s="450"/>
      <c r="BHD103" s="450"/>
      <c r="BHE103" s="450"/>
      <c r="BHF103" s="450"/>
      <c r="BHG103" s="450"/>
      <c r="BHH103" s="450"/>
      <c r="BHI103" s="450"/>
      <c r="BHJ103" s="450"/>
      <c r="BHK103" s="450"/>
      <c r="BHL103" s="450"/>
      <c r="BHM103" s="450"/>
      <c r="BHN103" s="450"/>
      <c r="BHO103" s="450"/>
      <c r="BHP103" s="450"/>
      <c r="BHQ103" s="450"/>
      <c r="BHR103" s="450"/>
      <c r="BHS103" s="450"/>
      <c r="BHT103" s="450"/>
      <c r="BHU103" s="450"/>
      <c r="BHV103" s="450"/>
      <c r="BHW103" s="450"/>
      <c r="BHX103" s="450"/>
      <c r="BHY103" s="450"/>
      <c r="BHZ103" s="450"/>
      <c r="BIA103" s="450"/>
      <c r="BIB103" s="450"/>
      <c r="BIC103" s="450"/>
      <c r="BID103" s="450"/>
      <c r="BIE103" s="450"/>
      <c r="BIF103" s="450"/>
      <c r="BIG103" s="450"/>
      <c r="BIH103" s="450"/>
      <c r="BII103" s="450"/>
      <c r="BIJ103" s="450"/>
      <c r="BIK103" s="450"/>
      <c r="BIL103" s="450"/>
      <c r="BIM103" s="450"/>
      <c r="BIN103" s="450"/>
      <c r="BIO103" s="450"/>
      <c r="BIP103" s="450"/>
      <c r="BIQ103" s="450"/>
      <c r="BIR103" s="450"/>
      <c r="BIS103" s="450"/>
      <c r="BIT103" s="450"/>
      <c r="BIU103" s="450"/>
      <c r="BIV103" s="450"/>
      <c r="BIW103" s="450"/>
      <c r="BIX103" s="450"/>
      <c r="BIY103" s="450"/>
      <c r="BIZ103" s="450"/>
      <c r="BJA103" s="450"/>
      <c r="BJB103" s="450"/>
      <c r="BJC103" s="450"/>
      <c r="BJD103" s="450"/>
      <c r="BJE103" s="450"/>
      <c r="BJF103" s="450"/>
      <c r="BJG103" s="450"/>
      <c r="BJH103" s="450"/>
      <c r="BJI103" s="450"/>
      <c r="BJJ103" s="450"/>
      <c r="BJK103" s="450"/>
      <c r="BJL103" s="450"/>
      <c r="BJM103" s="450"/>
      <c r="BJN103" s="450"/>
      <c r="BJO103" s="450"/>
      <c r="BJP103" s="450"/>
      <c r="BJQ103" s="450"/>
      <c r="BJR103" s="450"/>
      <c r="BJS103" s="450"/>
      <c r="BJT103" s="450"/>
      <c r="BJU103" s="450"/>
      <c r="BJV103" s="450"/>
      <c r="BJW103" s="450"/>
      <c r="BJX103" s="450"/>
      <c r="BJY103" s="450"/>
      <c r="BJZ103" s="450"/>
      <c r="BKA103" s="450"/>
      <c r="BKB103" s="450"/>
      <c r="BKC103" s="450"/>
      <c r="BKD103" s="450"/>
      <c r="BKE103" s="450"/>
      <c r="BKF103" s="450"/>
      <c r="BKG103" s="450"/>
      <c r="BKH103" s="450"/>
      <c r="BKI103" s="450"/>
      <c r="BKJ103" s="450"/>
      <c r="BKK103" s="450"/>
      <c r="BKL103" s="450"/>
      <c r="BKM103" s="450"/>
      <c r="BKN103" s="450"/>
      <c r="BKO103" s="450"/>
      <c r="BKP103" s="450"/>
      <c r="BKQ103" s="450"/>
      <c r="BKR103" s="450"/>
      <c r="BKS103" s="450"/>
      <c r="BKT103" s="450"/>
      <c r="BKU103" s="450"/>
      <c r="BKV103" s="450"/>
      <c r="BKW103" s="450"/>
      <c r="BKX103" s="450"/>
      <c r="BKY103" s="450"/>
      <c r="BKZ103" s="450"/>
      <c r="BLA103" s="450"/>
      <c r="BLB103" s="450"/>
      <c r="BLC103" s="450"/>
      <c r="BLD103" s="450"/>
      <c r="BLE103" s="450"/>
      <c r="BLF103" s="450"/>
      <c r="BLG103" s="450"/>
      <c r="BLH103" s="450"/>
      <c r="BLI103" s="450"/>
      <c r="BLJ103" s="450"/>
      <c r="BLK103" s="450"/>
      <c r="BLL103" s="450"/>
      <c r="BLM103" s="450"/>
      <c r="BLN103" s="450"/>
      <c r="BLO103" s="450"/>
      <c r="BLP103" s="450"/>
      <c r="BLQ103" s="450"/>
      <c r="BLR103" s="450"/>
      <c r="BLS103" s="450"/>
      <c r="BLT103" s="450"/>
      <c r="BLU103" s="450"/>
      <c r="BLV103" s="450"/>
      <c r="BLW103" s="450"/>
      <c r="BLX103" s="450"/>
      <c r="BLY103" s="450"/>
      <c r="BLZ103" s="450"/>
      <c r="BMA103" s="450"/>
      <c r="BMB103" s="450"/>
      <c r="BMC103" s="450"/>
      <c r="BMD103" s="450"/>
      <c r="BME103" s="450"/>
      <c r="BMF103" s="450"/>
      <c r="BMG103" s="450"/>
      <c r="BMH103" s="450"/>
      <c r="BMI103" s="450"/>
      <c r="BMJ103" s="450"/>
      <c r="BMK103" s="450"/>
      <c r="BML103" s="450"/>
      <c r="BMM103" s="450"/>
      <c r="BMN103" s="450"/>
      <c r="BMO103" s="450"/>
      <c r="BMP103" s="450"/>
      <c r="BMQ103" s="450"/>
      <c r="BMR103" s="450"/>
      <c r="BMS103" s="450"/>
      <c r="BMT103" s="450"/>
      <c r="BMU103" s="450"/>
      <c r="BMV103" s="450"/>
      <c r="BMW103" s="450"/>
      <c r="BMX103" s="450"/>
      <c r="BMY103" s="450"/>
      <c r="BMZ103" s="450"/>
      <c r="BNA103" s="450"/>
      <c r="BNB103" s="450"/>
      <c r="BNC103" s="450"/>
      <c r="BND103" s="450"/>
      <c r="BNE103" s="450"/>
      <c r="BNF103" s="450"/>
      <c r="BNG103" s="450"/>
      <c r="BNH103" s="450"/>
      <c r="BNI103" s="450"/>
      <c r="BNJ103" s="450"/>
      <c r="BNK103" s="450"/>
      <c r="BNL103" s="450"/>
      <c r="BNM103" s="450"/>
      <c r="BNN103" s="450"/>
      <c r="BNO103" s="450"/>
      <c r="BNP103" s="450"/>
      <c r="BNQ103" s="450"/>
      <c r="BNR103" s="450"/>
      <c r="BNS103" s="450"/>
      <c r="BNT103" s="450"/>
      <c r="BNU103" s="450"/>
      <c r="BNV103" s="450"/>
      <c r="BNW103" s="450"/>
      <c r="BNX103" s="450"/>
      <c r="BNY103" s="450"/>
      <c r="BNZ103" s="450"/>
      <c r="BOA103" s="450"/>
      <c r="BOB103" s="450"/>
      <c r="BOC103" s="450"/>
      <c r="BOD103" s="450"/>
      <c r="BOE103" s="450"/>
      <c r="BOF103" s="450"/>
      <c r="BOG103" s="450"/>
      <c r="BOH103" s="450"/>
      <c r="BOI103" s="450"/>
      <c r="BOJ103" s="450"/>
      <c r="BOK103" s="450"/>
      <c r="BOL103" s="450"/>
      <c r="BOM103" s="450"/>
      <c r="BON103" s="450"/>
      <c r="BOO103" s="450"/>
      <c r="BOP103" s="450"/>
      <c r="BOQ103" s="450"/>
      <c r="BOR103" s="450"/>
      <c r="BOS103" s="450"/>
      <c r="BOT103" s="450"/>
      <c r="BOU103" s="450"/>
      <c r="BOV103" s="450"/>
      <c r="BOW103" s="450"/>
      <c r="BOX103" s="450"/>
      <c r="BOY103" s="450"/>
      <c r="BOZ103" s="450"/>
      <c r="BPA103" s="450"/>
      <c r="BPB103" s="450"/>
      <c r="BPC103" s="450"/>
      <c r="BPD103" s="450"/>
      <c r="BPE103" s="450"/>
      <c r="BPF103" s="450"/>
      <c r="BPG103" s="450"/>
      <c r="BPH103" s="450"/>
      <c r="BPI103" s="450"/>
      <c r="BPJ103" s="450"/>
      <c r="BPK103" s="450"/>
      <c r="BPL103" s="450"/>
      <c r="BPM103" s="450"/>
      <c r="BPN103" s="450"/>
      <c r="BPO103" s="450"/>
      <c r="BPP103" s="450"/>
      <c r="BPQ103" s="450"/>
      <c r="BPR103" s="450"/>
      <c r="BPS103" s="450"/>
      <c r="BPT103" s="450"/>
      <c r="BPU103" s="450"/>
      <c r="BPV103" s="450"/>
      <c r="BPW103" s="450"/>
      <c r="BPX103" s="450"/>
      <c r="BPY103" s="450"/>
      <c r="BPZ103" s="450"/>
      <c r="BQA103" s="450"/>
      <c r="BQB103" s="450"/>
      <c r="BQC103" s="450"/>
      <c r="BQD103" s="450"/>
      <c r="BQE103" s="450"/>
      <c r="BQF103" s="450"/>
      <c r="BQG103" s="450"/>
      <c r="BQH103" s="450"/>
      <c r="BQI103" s="450"/>
      <c r="BQJ103" s="450"/>
      <c r="BQK103" s="450"/>
      <c r="BQL103" s="450"/>
      <c r="BQM103" s="450"/>
      <c r="BQN103" s="450"/>
      <c r="BQO103" s="450"/>
      <c r="BQP103" s="450"/>
      <c r="BQQ103" s="450"/>
      <c r="BQR103" s="450"/>
      <c r="BQS103" s="450"/>
      <c r="BQT103" s="450"/>
      <c r="BQU103" s="450"/>
      <c r="BQV103" s="450"/>
      <c r="BQW103" s="450"/>
      <c r="BQX103" s="450"/>
      <c r="BQY103" s="450"/>
      <c r="BQZ103" s="450"/>
      <c r="BRA103" s="450"/>
      <c r="BRB103" s="450"/>
      <c r="BRC103" s="450"/>
      <c r="BRD103" s="450"/>
      <c r="BRE103" s="450"/>
      <c r="BRF103" s="450"/>
      <c r="BRG103" s="450"/>
      <c r="BRH103" s="450"/>
      <c r="BRI103" s="450"/>
      <c r="BRJ103" s="450"/>
      <c r="BRK103" s="450"/>
      <c r="BRL103" s="450"/>
      <c r="BRM103" s="450"/>
      <c r="BRN103" s="450"/>
      <c r="BRO103" s="450"/>
      <c r="BRP103" s="450"/>
      <c r="BRQ103" s="450"/>
      <c r="BRR103" s="450"/>
      <c r="BRS103" s="450"/>
      <c r="BRT103" s="450"/>
      <c r="BRU103" s="450"/>
      <c r="BRV103" s="450"/>
      <c r="BRW103" s="450"/>
      <c r="BRX103" s="450"/>
      <c r="BRY103" s="450"/>
      <c r="BRZ103" s="450"/>
      <c r="BSA103" s="450"/>
      <c r="BSB103" s="450"/>
      <c r="BSC103" s="450"/>
      <c r="BSD103" s="450"/>
      <c r="BSE103" s="450"/>
      <c r="BSF103" s="450"/>
      <c r="BSG103" s="450"/>
      <c r="BSH103" s="450"/>
      <c r="BSI103" s="450"/>
      <c r="BSJ103" s="450"/>
      <c r="BSK103" s="450"/>
      <c r="BSL103" s="450"/>
      <c r="BSM103" s="450"/>
      <c r="BSN103" s="450"/>
      <c r="BSO103" s="450"/>
      <c r="BSP103" s="450"/>
      <c r="BSQ103" s="450"/>
      <c r="BSR103" s="450"/>
      <c r="BSS103" s="450"/>
      <c r="BST103" s="450"/>
      <c r="BSU103" s="450"/>
      <c r="BSV103" s="450"/>
      <c r="BSW103" s="450"/>
      <c r="BSX103" s="450"/>
      <c r="BSY103" s="450"/>
      <c r="BSZ103" s="450"/>
      <c r="BTA103" s="450"/>
      <c r="BTB103" s="450"/>
      <c r="BTC103" s="450"/>
      <c r="BTD103" s="450"/>
      <c r="BTE103" s="450"/>
      <c r="BTF103" s="450"/>
      <c r="BTG103" s="450"/>
      <c r="BTH103" s="450"/>
      <c r="BTI103" s="450"/>
      <c r="BTJ103" s="450"/>
      <c r="BTK103" s="450"/>
      <c r="BTL103" s="450"/>
      <c r="BTM103" s="450"/>
      <c r="BTN103" s="450"/>
      <c r="BTO103" s="450"/>
      <c r="BTP103" s="450"/>
      <c r="BTQ103" s="450"/>
      <c r="BTR103" s="450"/>
      <c r="BTS103" s="450"/>
      <c r="BTT103" s="450"/>
      <c r="BTU103" s="450"/>
      <c r="BTV103" s="450"/>
      <c r="BTW103" s="450"/>
      <c r="BTX103" s="450"/>
      <c r="BTY103" s="450"/>
      <c r="BTZ103" s="450"/>
      <c r="BUA103" s="450"/>
      <c r="BUB103" s="450"/>
      <c r="BUC103" s="450"/>
      <c r="BUD103" s="450"/>
      <c r="BUE103" s="450"/>
      <c r="BUF103" s="450"/>
      <c r="BUG103" s="450"/>
      <c r="BUH103" s="450"/>
      <c r="BUI103" s="450"/>
      <c r="BUJ103" s="450"/>
      <c r="BUK103" s="450"/>
      <c r="BUL103" s="450"/>
      <c r="BUM103" s="450"/>
      <c r="BUN103" s="450"/>
      <c r="BUO103" s="450"/>
      <c r="BUP103" s="450"/>
      <c r="BUQ103" s="450"/>
      <c r="BUR103" s="450"/>
      <c r="BUS103" s="450"/>
      <c r="BUT103" s="450"/>
      <c r="BUU103" s="450"/>
      <c r="BUV103" s="450"/>
      <c r="BUW103" s="450"/>
      <c r="BUX103" s="450"/>
      <c r="BUY103" s="450"/>
      <c r="BUZ103" s="450"/>
      <c r="BVA103" s="450"/>
      <c r="BVB103" s="450"/>
      <c r="BVC103" s="450"/>
      <c r="BVD103" s="450"/>
      <c r="BVE103" s="450"/>
      <c r="BVF103" s="450"/>
      <c r="BVG103" s="450"/>
      <c r="BVH103" s="450"/>
      <c r="BVI103" s="450"/>
      <c r="BVJ103" s="450"/>
      <c r="BVK103" s="450"/>
      <c r="BVL103" s="450"/>
      <c r="BVM103" s="450"/>
      <c r="BVN103" s="450"/>
      <c r="BVO103" s="450"/>
      <c r="BVP103" s="450"/>
      <c r="BVQ103" s="450"/>
      <c r="BVR103" s="450"/>
      <c r="BVS103" s="450"/>
      <c r="BVT103" s="450"/>
      <c r="BVU103" s="450"/>
      <c r="BVV103" s="450"/>
      <c r="BVW103" s="450"/>
      <c r="BVX103" s="450"/>
      <c r="BVY103" s="450"/>
      <c r="BVZ103" s="450"/>
      <c r="BWA103" s="450"/>
      <c r="BWB103" s="450"/>
      <c r="BWC103" s="450"/>
      <c r="BWD103" s="450"/>
      <c r="BWE103" s="450"/>
      <c r="BWF103" s="450"/>
      <c r="BWG103" s="450"/>
      <c r="BWH103" s="450"/>
      <c r="BWI103" s="450"/>
      <c r="BWJ103" s="450"/>
      <c r="BWK103" s="450"/>
      <c r="BWL103" s="450"/>
      <c r="BWM103" s="450"/>
      <c r="BWN103" s="450"/>
      <c r="BWO103" s="450"/>
      <c r="BWP103" s="450"/>
      <c r="BWQ103" s="450"/>
      <c r="BWR103" s="450"/>
      <c r="BWS103" s="450"/>
      <c r="BWT103" s="450"/>
      <c r="BWU103" s="450"/>
      <c r="BWV103" s="450"/>
      <c r="BWW103" s="450"/>
      <c r="BWX103" s="450"/>
      <c r="BWY103" s="450"/>
      <c r="BWZ103" s="450"/>
      <c r="BXA103" s="450"/>
      <c r="BXB103" s="450"/>
      <c r="BXC103" s="450"/>
      <c r="BXD103" s="450"/>
      <c r="BXE103" s="450"/>
      <c r="BXF103" s="450"/>
      <c r="BXG103" s="450"/>
      <c r="BXH103" s="450"/>
      <c r="BXI103" s="450"/>
      <c r="BXJ103" s="450"/>
      <c r="BXK103" s="450"/>
      <c r="BXL103" s="450"/>
      <c r="BXM103" s="450"/>
      <c r="BXN103" s="450"/>
      <c r="BXO103" s="450"/>
      <c r="BXP103" s="450"/>
      <c r="BXQ103" s="450"/>
      <c r="BXR103" s="450"/>
      <c r="BXS103" s="450"/>
      <c r="BXT103" s="450"/>
      <c r="BXU103" s="450"/>
      <c r="BXV103" s="450"/>
      <c r="BXW103" s="450"/>
      <c r="BXX103" s="450"/>
      <c r="BXY103" s="450"/>
      <c r="BXZ103" s="450"/>
      <c r="BYA103" s="450"/>
      <c r="BYB103" s="450"/>
      <c r="BYC103" s="450"/>
      <c r="BYD103" s="450"/>
      <c r="BYE103" s="450"/>
      <c r="BYF103" s="450"/>
      <c r="BYG103" s="450"/>
      <c r="BYH103" s="450"/>
      <c r="BYI103" s="450"/>
      <c r="BYJ103" s="450"/>
      <c r="BYK103" s="450"/>
      <c r="BYL103" s="450"/>
      <c r="BYM103" s="450"/>
      <c r="BYN103" s="450"/>
      <c r="BYO103" s="450"/>
      <c r="BYP103" s="450"/>
      <c r="BYQ103" s="450"/>
      <c r="BYR103" s="450"/>
      <c r="BYS103" s="450"/>
      <c r="BYT103" s="450"/>
      <c r="BYU103" s="450"/>
      <c r="BYV103" s="450"/>
      <c r="BYW103" s="450"/>
      <c r="BYX103" s="450"/>
      <c r="BYY103" s="450"/>
      <c r="BYZ103" s="450"/>
      <c r="BZA103" s="450"/>
      <c r="BZB103" s="450"/>
      <c r="BZC103" s="450"/>
      <c r="BZD103" s="450"/>
      <c r="BZE103" s="450"/>
      <c r="BZF103" s="450"/>
      <c r="BZG103" s="450"/>
      <c r="BZH103" s="450"/>
      <c r="BZI103" s="450"/>
      <c r="BZJ103" s="450"/>
      <c r="BZK103" s="450"/>
      <c r="BZL103" s="450"/>
      <c r="BZM103" s="450"/>
      <c r="BZN103" s="450"/>
      <c r="BZO103" s="450"/>
      <c r="BZP103" s="450"/>
      <c r="BZQ103" s="450"/>
      <c r="BZR103" s="450"/>
      <c r="BZS103" s="450"/>
      <c r="BZT103" s="450"/>
      <c r="BZU103" s="450"/>
      <c r="BZV103" s="450"/>
      <c r="BZW103" s="450"/>
      <c r="BZX103" s="450"/>
      <c r="BZY103" s="450"/>
      <c r="BZZ103" s="450"/>
      <c r="CAA103" s="450"/>
      <c r="CAB103" s="450"/>
      <c r="CAC103" s="450"/>
      <c r="CAD103" s="450"/>
      <c r="CAE103" s="450"/>
      <c r="CAF103" s="450"/>
      <c r="CAG103" s="450"/>
      <c r="CAH103" s="450"/>
      <c r="CAI103" s="450"/>
      <c r="CAJ103" s="450"/>
      <c r="CAK103" s="450"/>
      <c r="CAL103" s="450"/>
      <c r="CAM103" s="450"/>
      <c r="CAN103" s="450"/>
      <c r="CAO103" s="450"/>
      <c r="CAP103" s="450"/>
      <c r="CAQ103" s="450"/>
      <c r="CAR103" s="450"/>
      <c r="CAS103" s="450"/>
      <c r="CAT103" s="450"/>
      <c r="CAU103" s="450"/>
      <c r="CAV103" s="450"/>
      <c r="CAW103" s="450"/>
      <c r="CAX103" s="450"/>
      <c r="CAY103" s="450"/>
      <c r="CAZ103" s="450"/>
      <c r="CBA103" s="450"/>
      <c r="CBB103" s="450"/>
      <c r="CBC103" s="450"/>
      <c r="CBD103" s="450"/>
      <c r="CBE103" s="450"/>
      <c r="CBF103" s="450"/>
      <c r="CBG103" s="450"/>
      <c r="CBH103" s="450"/>
      <c r="CBI103" s="450"/>
      <c r="CBJ103" s="450"/>
      <c r="CBK103" s="450"/>
      <c r="CBL103" s="450"/>
      <c r="CBM103" s="450"/>
      <c r="CBN103" s="450"/>
      <c r="CBO103" s="450"/>
      <c r="CBP103" s="450"/>
      <c r="CBQ103" s="450"/>
      <c r="CBR103" s="450"/>
      <c r="CBS103" s="450"/>
      <c r="CBT103" s="450"/>
      <c r="CBU103" s="450"/>
      <c r="CBV103" s="450"/>
      <c r="CBW103" s="450"/>
      <c r="CBX103" s="450"/>
      <c r="CBY103" s="450"/>
      <c r="CBZ103" s="450"/>
      <c r="CCA103" s="450"/>
      <c r="CCB103" s="450"/>
      <c r="CCC103" s="450"/>
      <c r="CCD103" s="450"/>
      <c r="CCE103" s="450"/>
      <c r="CCF103" s="450"/>
      <c r="CCG103" s="450"/>
      <c r="CCH103" s="450"/>
      <c r="CCI103" s="450"/>
      <c r="CCJ103" s="450"/>
      <c r="CCK103" s="450"/>
      <c r="CCL103" s="450"/>
      <c r="CCM103" s="450"/>
      <c r="CCN103" s="450"/>
      <c r="CCO103" s="450"/>
      <c r="CCP103" s="450"/>
      <c r="CCQ103" s="450"/>
      <c r="CCR103" s="450"/>
      <c r="CCS103" s="450"/>
      <c r="CCT103" s="450"/>
      <c r="CCU103" s="450"/>
      <c r="CCV103" s="450"/>
      <c r="CCW103" s="450"/>
      <c r="CCX103" s="450"/>
      <c r="CCY103" s="450"/>
      <c r="CCZ103" s="450"/>
      <c r="CDA103" s="450"/>
      <c r="CDB103" s="450"/>
      <c r="CDC103" s="450"/>
      <c r="CDD103" s="450"/>
      <c r="CDE103" s="450"/>
      <c r="CDF103" s="450"/>
      <c r="CDG103" s="450"/>
      <c r="CDH103" s="450"/>
      <c r="CDI103" s="450"/>
      <c r="CDJ103" s="450"/>
      <c r="CDK103" s="450"/>
      <c r="CDL103" s="450"/>
      <c r="CDM103" s="450"/>
      <c r="CDN103" s="450"/>
      <c r="CDO103" s="450"/>
      <c r="CDP103" s="450"/>
      <c r="CDQ103" s="450"/>
      <c r="CDR103" s="450"/>
      <c r="CDS103" s="450"/>
      <c r="CDT103" s="450"/>
      <c r="CDU103" s="450"/>
      <c r="CDV103" s="450"/>
      <c r="CDW103" s="450"/>
      <c r="CDX103" s="450"/>
      <c r="CDY103" s="450"/>
      <c r="CDZ103" s="450"/>
      <c r="CEA103" s="450"/>
      <c r="CEB103" s="450"/>
      <c r="CEC103" s="450"/>
      <c r="CED103" s="450"/>
      <c r="CEE103" s="450"/>
      <c r="CEF103" s="450"/>
      <c r="CEG103" s="450"/>
      <c r="CEH103" s="450"/>
      <c r="CEI103" s="450"/>
      <c r="CEJ103" s="450"/>
      <c r="CEK103" s="450"/>
      <c r="CEL103" s="450"/>
      <c r="CEM103" s="450"/>
      <c r="CEN103" s="450"/>
      <c r="CEO103" s="450"/>
      <c r="CEP103" s="450"/>
      <c r="CEQ103" s="450"/>
      <c r="CER103" s="450"/>
      <c r="CES103" s="450"/>
      <c r="CET103" s="450"/>
      <c r="CEU103" s="450"/>
      <c r="CEV103" s="450"/>
      <c r="CEW103" s="450"/>
      <c r="CEX103" s="450"/>
      <c r="CEY103" s="450"/>
      <c r="CEZ103" s="450"/>
      <c r="CFA103" s="450"/>
      <c r="CFB103" s="450"/>
      <c r="CFC103" s="450"/>
      <c r="CFD103" s="450"/>
      <c r="CFE103" s="450"/>
      <c r="CFF103" s="450"/>
      <c r="CFG103" s="450"/>
      <c r="CFH103" s="450"/>
      <c r="CFI103" s="450"/>
      <c r="CFJ103" s="450"/>
      <c r="CFK103" s="450"/>
      <c r="CFL103" s="450"/>
      <c r="CFM103" s="450"/>
      <c r="CFN103" s="450"/>
      <c r="CFO103" s="450"/>
      <c r="CFP103" s="450"/>
      <c r="CFQ103" s="450"/>
      <c r="CFR103" s="450"/>
      <c r="CFS103" s="450"/>
      <c r="CFT103" s="450"/>
      <c r="CFU103" s="450"/>
      <c r="CFV103" s="450"/>
      <c r="CFW103" s="450"/>
      <c r="CFX103" s="450"/>
      <c r="CFY103" s="450"/>
      <c r="CFZ103" s="450"/>
      <c r="CGA103" s="450"/>
      <c r="CGB103" s="450"/>
      <c r="CGC103" s="450"/>
      <c r="CGD103" s="450"/>
      <c r="CGE103" s="450"/>
      <c r="CGF103" s="450"/>
      <c r="CGG103" s="450"/>
      <c r="CGH103" s="450"/>
      <c r="CGI103" s="450"/>
      <c r="CGJ103" s="450"/>
      <c r="CGK103" s="450"/>
      <c r="CGL103" s="450"/>
      <c r="CGM103" s="450"/>
      <c r="CGN103" s="450"/>
      <c r="CGO103" s="450"/>
      <c r="CGP103" s="450"/>
      <c r="CGQ103" s="450"/>
      <c r="CGR103" s="450"/>
      <c r="CGS103" s="450"/>
      <c r="CGT103" s="450"/>
      <c r="CGU103" s="450"/>
      <c r="CGV103" s="450"/>
      <c r="CGW103" s="450"/>
      <c r="CGX103" s="450"/>
      <c r="CGY103" s="450"/>
      <c r="CGZ103" s="450"/>
      <c r="CHA103" s="450"/>
      <c r="CHB103" s="450"/>
      <c r="CHC103" s="450"/>
      <c r="CHD103" s="450"/>
      <c r="CHE103" s="450"/>
      <c r="CHF103" s="450"/>
      <c r="CHG103" s="450"/>
      <c r="CHH103" s="450"/>
      <c r="CHI103" s="450"/>
      <c r="CHJ103" s="450"/>
      <c r="CHK103" s="450"/>
      <c r="CHL103" s="450"/>
      <c r="CHM103" s="450"/>
      <c r="CHN103" s="450"/>
      <c r="CHO103" s="450"/>
      <c r="CHP103" s="450"/>
      <c r="CHQ103" s="450"/>
      <c r="CHR103" s="450"/>
      <c r="CHS103" s="450"/>
      <c r="CHT103" s="450"/>
      <c r="CHU103" s="450"/>
      <c r="CHV103" s="450"/>
      <c r="CHW103" s="450"/>
      <c r="CHX103" s="450"/>
      <c r="CHY103" s="450"/>
      <c r="CHZ103" s="450"/>
      <c r="CIA103" s="450"/>
      <c r="CIB103" s="450"/>
      <c r="CIC103" s="450"/>
      <c r="CID103" s="450"/>
      <c r="CIE103" s="450"/>
      <c r="CIF103" s="450"/>
      <c r="CIG103" s="450"/>
      <c r="CIH103" s="450"/>
      <c r="CII103" s="450"/>
      <c r="CIJ103" s="450"/>
      <c r="CIK103" s="450"/>
      <c r="CIL103" s="450"/>
      <c r="CIM103" s="450"/>
      <c r="CIN103" s="450"/>
      <c r="CIO103" s="450"/>
      <c r="CIP103" s="450"/>
      <c r="CIQ103" s="450"/>
      <c r="CIR103" s="450"/>
      <c r="CIS103" s="450"/>
      <c r="CIT103" s="450"/>
      <c r="CIU103" s="450"/>
      <c r="CIV103" s="450"/>
      <c r="CIW103" s="450"/>
      <c r="CIX103" s="450"/>
      <c r="CIY103" s="450"/>
      <c r="CIZ103" s="450"/>
      <c r="CJA103" s="450"/>
      <c r="CJB103" s="450"/>
      <c r="CJC103" s="450"/>
      <c r="CJD103" s="450"/>
      <c r="CJE103" s="450"/>
      <c r="CJF103" s="450"/>
      <c r="CJG103" s="450"/>
      <c r="CJH103" s="450"/>
      <c r="CJI103" s="450"/>
      <c r="CJJ103" s="450"/>
      <c r="CJK103" s="450"/>
      <c r="CJL103" s="450"/>
      <c r="CJM103" s="450"/>
      <c r="CJN103" s="450"/>
      <c r="CJO103" s="450"/>
      <c r="CJP103" s="450"/>
      <c r="CJQ103" s="450"/>
      <c r="CJR103" s="450"/>
      <c r="CJS103" s="450"/>
      <c r="CJT103" s="450"/>
      <c r="CJU103" s="450"/>
      <c r="CJV103" s="450"/>
      <c r="CJW103" s="450"/>
      <c r="CJX103" s="450"/>
      <c r="CJY103" s="450"/>
      <c r="CJZ103" s="450"/>
      <c r="CKA103" s="450"/>
      <c r="CKB103" s="450"/>
      <c r="CKC103" s="450"/>
      <c r="CKD103" s="450"/>
      <c r="CKE103" s="450"/>
      <c r="CKF103" s="450"/>
      <c r="CKG103" s="450"/>
      <c r="CKH103" s="450"/>
      <c r="CKI103" s="450"/>
      <c r="CKJ103" s="450"/>
      <c r="CKK103" s="450"/>
      <c r="CKL103" s="450"/>
      <c r="CKM103" s="450"/>
      <c r="CKN103" s="450"/>
      <c r="CKO103" s="450"/>
      <c r="CKP103" s="450"/>
      <c r="CKQ103" s="450"/>
      <c r="CKR103" s="450"/>
      <c r="CKS103" s="450"/>
      <c r="CKT103" s="450"/>
      <c r="CKU103" s="450"/>
      <c r="CKV103" s="450"/>
      <c r="CKW103" s="450"/>
      <c r="CKX103" s="450"/>
      <c r="CKY103" s="450"/>
      <c r="CKZ103" s="450"/>
      <c r="CLA103" s="450"/>
      <c r="CLB103" s="450"/>
      <c r="CLC103" s="450"/>
      <c r="CLD103" s="450"/>
      <c r="CLE103" s="450"/>
      <c r="CLF103" s="450"/>
      <c r="CLG103" s="450"/>
      <c r="CLH103" s="450"/>
      <c r="CLI103" s="450"/>
      <c r="CLJ103" s="450"/>
      <c r="CLK103" s="450"/>
      <c r="CLL103" s="450"/>
      <c r="CLM103" s="450"/>
      <c r="CLN103" s="450"/>
      <c r="CLO103" s="450"/>
      <c r="CLP103" s="450"/>
      <c r="CLQ103" s="450"/>
      <c r="CLR103" s="450"/>
      <c r="CLS103" s="450"/>
      <c r="CLT103" s="450"/>
      <c r="CLU103" s="450"/>
      <c r="CLV103" s="450"/>
      <c r="CLW103" s="450"/>
      <c r="CLX103" s="450"/>
      <c r="CLY103" s="450"/>
      <c r="CLZ103" s="450"/>
      <c r="CMA103" s="450"/>
      <c r="CMB103" s="450"/>
      <c r="CMC103" s="450"/>
      <c r="CMD103" s="450"/>
      <c r="CME103" s="450"/>
      <c r="CMF103" s="450"/>
      <c r="CMG103" s="450"/>
      <c r="CMH103" s="450"/>
      <c r="CMI103" s="450"/>
      <c r="CMJ103" s="450"/>
      <c r="CMK103" s="450"/>
      <c r="CML103" s="450"/>
      <c r="CMM103" s="450"/>
      <c r="CMN103" s="450"/>
      <c r="CMO103" s="450"/>
      <c r="CMP103" s="450"/>
      <c r="CMQ103" s="450"/>
      <c r="CMR103" s="450"/>
      <c r="CMS103" s="450"/>
      <c r="CMT103" s="450"/>
      <c r="CMU103" s="450"/>
      <c r="CMV103" s="450"/>
      <c r="CMW103" s="450"/>
      <c r="CMX103" s="450"/>
      <c r="CMY103" s="450"/>
      <c r="CMZ103" s="450"/>
      <c r="CNA103" s="450"/>
      <c r="CNB103" s="450"/>
      <c r="CNC103" s="450"/>
      <c r="CND103" s="450"/>
      <c r="CNE103" s="450"/>
      <c r="CNF103" s="450"/>
      <c r="CNG103" s="450"/>
      <c r="CNH103" s="450"/>
      <c r="CNI103" s="450"/>
      <c r="CNJ103" s="450"/>
      <c r="CNK103" s="450"/>
      <c r="CNL103" s="450"/>
      <c r="CNM103" s="450"/>
      <c r="CNN103" s="450"/>
      <c r="CNO103" s="450"/>
      <c r="CNP103" s="450"/>
      <c r="CNQ103" s="450"/>
      <c r="CNR103" s="450"/>
      <c r="CNS103" s="450"/>
      <c r="CNT103" s="450"/>
      <c r="CNU103" s="450"/>
      <c r="CNV103" s="450"/>
      <c r="CNW103" s="450"/>
      <c r="CNX103" s="450"/>
      <c r="CNY103" s="450"/>
      <c r="CNZ103" s="450"/>
      <c r="COA103" s="450"/>
      <c r="COB103" s="450"/>
      <c r="COC103" s="450"/>
      <c r="COD103" s="450"/>
      <c r="COE103" s="450"/>
      <c r="COF103" s="450"/>
      <c r="COG103" s="450"/>
      <c r="COH103" s="450"/>
      <c r="COI103" s="450"/>
      <c r="COJ103" s="450"/>
      <c r="COK103" s="450"/>
      <c r="COL103" s="450"/>
      <c r="COM103" s="450"/>
      <c r="CON103" s="450"/>
      <c r="COO103" s="450"/>
      <c r="COP103" s="450"/>
      <c r="COQ103" s="450"/>
      <c r="COR103" s="450"/>
      <c r="COS103" s="450"/>
      <c r="COT103" s="450"/>
      <c r="COU103" s="450"/>
      <c r="COV103" s="450"/>
      <c r="COW103" s="450"/>
      <c r="COX103" s="450"/>
      <c r="COY103" s="450"/>
      <c r="COZ103" s="450"/>
      <c r="CPA103" s="450"/>
      <c r="CPB103" s="450"/>
      <c r="CPC103" s="450"/>
      <c r="CPD103" s="450"/>
      <c r="CPE103" s="450"/>
      <c r="CPF103" s="450"/>
      <c r="CPG103" s="450"/>
      <c r="CPH103" s="450"/>
      <c r="CPI103" s="450"/>
      <c r="CPJ103" s="450"/>
      <c r="CPK103" s="450"/>
      <c r="CPL103" s="450"/>
      <c r="CPM103" s="450"/>
      <c r="CPN103" s="450"/>
      <c r="CPO103" s="450"/>
      <c r="CPP103" s="450"/>
      <c r="CPQ103" s="450"/>
      <c r="CPR103" s="450"/>
      <c r="CPS103" s="450"/>
      <c r="CPT103" s="450"/>
      <c r="CPU103" s="450"/>
      <c r="CPV103" s="450"/>
      <c r="CPW103" s="450"/>
      <c r="CPX103" s="450"/>
      <c r="CPY103" s="450"/>
      <c r="CPZ103" s="450"/>
      <c r="CQA103" s="450"/>
      <c r="CQB103" s="450"/>
      <c r="CQC103" s="450"/>
      <c r="CQD103" s="450"/>
      <c r="CQE103" s="450"/>
      <c r="CQF103" s="450"/>
      <c r="CQG103" s="450"/>
      <c r="CQH103" s="450"/>
      <c r="CQI103" s="450"/>
      <c r="CQJ103" s="450"/>
      <c r="CQK103" s="450"/>
      <c r="CQL103" s="450"/>
      <c r="CQM103" s="450"/>
      <c r="CQN103" s="450"/>
      <c r="CQO103" s="450"/>
      <c r="CQP103" s="450"/>
      <c r="CQQ103" s="450"/>
      <c r="CQR103" s="450"/>
      <c r="CQS103" s="450"/>
      <c r="CQT103" s="450"/>
      <c r="CQU103" s="450"/>
      <c r="CQV103" s="450"/>
      <c r="CQW103" s="450"/>
      <c r="CQX103" s="450"/>
      <c r="CQY103" s="450"/>
      <c r="CQZ103" s="450"/>
      <c r="CRA103" s="450"/>
      <c r="CRB103" s="450"/>
      <c r="CRC103" s="450"/>
      <c r="CRD103" s="450"/>
      <c r="CRE103" s="450"/>
      <c r="CRF103" s="450"/>
      <c r="CRG103" s="450"/>
      <c r="CRH103" s="450"/>
      <c r="CRI103" s="450"/>
      <c r="CRJ103" s="450"/>
      <c r="CRK103" s="450"/>
      <c r="CRL103" s="450"/>
      <c r="CRM103" s="450"/>
      <c r="CRN103" s="450"/>
      <c r="CRO103" s="450"/>
      <c r="CRP103" s="450"/>
      <c r="CRQ103" s="450"/>
      <c r="CRR103" s="450"/>
      <c r="CRS103" s="450"/>
      <c r="CRT103" s="450"/>
      <c r="CRU103" s="450"/>
      <c r="CRV103" s="450"/>
      <c r="CRW103" s="450"/>
      <c r="CRX103" s="450"/>
      <c r="CRY103" s="450"/>
      <c r="CRZ103" s="450"/>
      <c r="CSA103" s="450"/>
      <c r="CSB103" s="450"/>
      <c r="CSC103" s="450"/>
      <c r="CSD103" s="450"/>
      <c r="CSE103" s="450"/>
      <c r="CSF103" s="450"/>
      <c r="CSG103" s="450"/>
      <c r="CSH103" s="450"/>
      <c r="CSI103" s="450"/>
      <c r="CSJ103" s="450"/>
      <c r="CSK103" s="450"/>
      <c r="CSL103" s="450"/>
      <c r="CSM103" s="450"/>
      <c r="CSN103" s="450"/>
      <c r="CSO103" s="450"/>
      <c r="CSP103" s="450"/>
      <c r="CSQ103" s="450"/>
      <c r="CSR103" s="450"/>
      <c r="CSS103" s="450"/>
      <c r="CST103" s="450"/>
      <c r="CSU103" s="450"/>
      <c r="CSV103" s="450"/>
      <c r="CSW103" s="450"/>
      <c r="CSX103" s="450"/>
      <c r="CSY103" s="450"/>
      <c r="CSZ103" s="450"/>
      <c r="CTA103" s="450"/>
      <c r="CTB103" s="450"/>
      <c r="CTC103" s="450"/>
      <c r="CTD103" s="450"/>
      <c r="CTE103" s="450"/>
      <c r="CTF103" s="450"/>
      <c r="CTG103" s="450"/>
      <c r="CTH103" s="450"/>
      <c r="CTI103" s="450"/>
      <c r="CTJ103" s="450"/>
      <c r="CTK103" s="450"/>
      <c r="CTL103" s="450"/>
      <c r="CTM103" s="450"/>
      <c r="CTN103" s="450"/>
      <c r="CTO103" s="450"/>
      <c r="CTP103" s="450"/>
      <c r="CTQ103" s="450"/>
      <c r="CTR103" s="450"/>
      <c r="CTS103" s="450"/>
      <c r="CTT103" s="450"/>
      <c r="CTU103" s="450"/>
      <c r="CTV103" s="450"/>
      <c r="CTW103" s="450"/>
      <c r="CTX103" s="450"/>
      <c r="CTY103" s="450"/>
      <c r="CTZ103" s="450"/>
      <c r="CUA103" s="450"/>
      <c r="CUB103" s="450"/>
      <c r="CUC103" s="450"/>
      <c r="CUD103" s="450"/>
      <c r="CUE103" s="450"/>
      <c r="CUF103" s="450"/>
      <c r="CUG103" s="450"/>
      <c r="CUH103" s="450"/>
      <c r="CUI103" s="450"/>
      <c r="CUJ103" s="450"/>
      <c r="CUK103" s="450"/>
      <c r="CUL103" s="450"/>
      <c r="CUM103" s="450"/>
      <c r="CUN103" s="450"/>
      <c r="CUO103" s="450"/>
      <c r="CUP103" s="450"/>
      <c r="CUQ103" s="450"/>
      <c r="CUR103" s="450"/>
      <c r="CUS103" s="450"/>
      <c r="CUT103" s="450"/>
      <c r="CUU103" s="450"/>
      <c r="CUV103" s="450"/>
      <c r="CUW103" s="450"/>
      <c r="CUX103" s="450"/>
      <c r="CUY103" s="450"/>
      <c r="CUZ103" s="450"/>
      <c r="CVA103" s="450"/>
      <c r="CVB103" s="450"/>
      <c r="CVC103" s="450"/>
      <c r="CVD103" s="450"/>
      <c r="CVE103" s="450"/>
      <c r="CVF103" s="450"/>
      <c r="CVG103" s="450"/>
      <c r="CVH103" s="450"/>
      <c r="CVI103" s="450"/>
      <c r="CVJ103" s="450"/>
      <c r="CVK103" s="450"/>
      <c r="CVL103" s="450"/>
      <c r="CVM103" s="450"/>
      <c r="CVN103" s="450"/>
      <c r="CVO103" s="450"/>
      <c r="CVP103" s="450"/>
      <c r="CVQ103" s="450"/>
      <c r="CVR103" s="450"/>
      <c r="CVS103" s="450"/>
      <c r="CVT103" s="450"/>
      <c r="CVU103" s="450"/>
      <c r="CVV103" s="450"/>
      <c r="CVW103" s="450"/>
      <c r="CVX103" s="450"/>
      <c r="CVY103" s="450"/>
      <c r="CVZ103" s="450"/>
      <c r="CWA103" s="450"/>
      <c r="CWB103" s="450"/>
      <c r="CWC103" s="450"/>
      <c r="CWD103" s="450"/>
      <c r="CWE103" s="450"/>
      <c r="CWF103" s="450"/>
      <c r="CWG103" s="450"/>
      <c r="CWH103" s="450"/>
      <c r="CWI103" s="450"/>
      <c r="CWJ103" s="450"/>
      <c r="CWK103" s="450"/>
      <c r="CWL103" s="450"/>
      <c r="CWM103" s="450"/>
      <c r="CWN103" s="450"/>
      <c r="CWO103" s="450"/>
      <c r="CWP103" s="450"/>
      <c r="CWQ103" s="450"/>
      <c r="CWR103" s="450"/>
      <c r="CWS103" s="450"/>
      <c r="CWT103" s="450"/>
      <c r="CWU103" s="450"/>
      <c r="CWV103" s="450"/>
      <c r="CWW103" s="450"/>
      <c r="CWX103" s="450"/>
      <c r="CWY103" s="450"/>
      <c r="CWZ103" s="450"/>
      <c r="CXA103" s="450"/>
      <c r="CXB103" s="450"/>
      <c r="CXC103" s="450"/>
      <c r="CXD103" s="450"/>
      <c r="CXE103" s="450"/>
      <c r="CXF103" s="450"/>
      <c r="CXG103" s="450"/>
      <c r="CXH103" s="450"/>
      <c r="CXI103" s="450"/>
      <c r="CXJ103" s="450"/>
      <c r="CXK103" s="450"/>
      <c r="CXL103" s="450"/>
      <c r="CXM103" s="450"/>
      <c r="CXN103" s="450"/>
      <c r="CXO103" s="450"/>
      <c r="CXP103" s="450"/>
      <c r="CXQ103" s="450"/>
      <c r="CXR103" s="450"/>
      <c r="CXS103" s="450"/>
      <c r="CXT103" s="450"/>
      <c r="CXU103" s="450"/>
      <c r="CXV103" s="450"/>
      <c r="CXW103" s="450"/>
      <c r="CXX103" s="450"/>
      <c r="CXY103" s="450"/>
      <c r="CXZ103" s="450"/>
      <c r="CYA103" s="450"/>
      <c r="CYB103" s="450"/>
      <c r="CYC103" s="450"/>
      <c r="CYD103" s="450"/>
      <c r="CYE103" s="450"/>
      <c r="CYF103" s="450"/>
      <c r="CYG103" s="450"/>
      <c r="CYH103" s="450"/>
      <c r="CYI103" s="450"/>
      <c r="CYJ103" s="450"/>
      <c r="CYK103" s="450"/>
      <c r="CYL103" s="450"/>
      <c r="CYM103" s="450"/>
      <c r="CYN103" s="450"/>
      <c r="CYO103" s="450"/>
      <c r="CYP103" s="450"/>
      <c r="CYQ103" s="450"/>
      <c r="CYR103" s="450"/>
      <c r="CYS103" s="450"/>
      <c r="CYT103" s="450"/>
      <c r="CYU103" s="450"/>
      <c r="CYV103" s="450"/>
      <c r="CYW103" s="450"/>
      <c r="CYX103" s="450"/>
      <c r="CYY103" s="450"/>
      <c r="CYZ103" s="450"/>
      <c r="CZA103" s="450"/>
      <c r="CZB103" s="450"/>
      <c r="CZC103" s="450"/>
      <c r="CZD103" s="450"/>
      <c r="CZE103" s="450"/>
      <c r="CZF103" s="450"/>
      <c r="CZG103" s="450"/>
      <c r="CZH103" s="450"/>
      <c r="CZI103" s="450"/>
      <c r="CZJ103" s="450"/>
      <c r="CZK103" s="450"/>
      <c r="CZL103" s="450"/>
      <c r="CZM103" s="450"/>
      <c r="CZN103" s="450"/>
      <c r="CZO103" s="450"/>
      <c r="CZP103" s="450"/>
      <c r="CZQ103" s="450"/>
      <c r="CZR103" s="450"/>
      <c r="CZS103" s="450"/>
      <c r="CZT103" s="450"/>
      <c r="CZU103" s="450"/>
      <c r="CZV103" s="450"/>
      <c r="CZW103" s="450"/>
      <c r="CZX103" s="450"/>
      <c r="CZY103" s="450"/>
      <c r="CZZ103" s="450"/>
      <c r="DAA103" s="450"/>
      <c r="DAB103" s="450"/>
      <c r="DAC103" s="450"/>
      <c r="DAD103" s="450"/>
      <c r="DAE103" s="450"/>
      <c r="DAF103" s="450"/>
      <c r="DAG103" s="450"/>
      <c r="DAH103" s="450"/>
      <c r="DAI103" s="450"/>
      <c r="DAJ103" s="450"/>
      <c r="DAK103" s="450"/>
      <c r="DAL103" s="450"/>
      <c r="DAM103" s="450"/>
      <c r="DAN103" s="450"/>
      <c r="DAO103" s="450"/>
      <c r="DAP103" s="450"/>
      <c r="DAQ103" s="450"/>
      <c r="DAR103" s="450"/>
      <c r="DAS103" s="450"/>
      <c r="DAT103" s="450"/>
      <c r="DAU103" s="450"/>
      <c r="DAV103" s="450"/>
      <c r="DAW103" s="450"/>
      <c r="DAX103" s="450"/>
      <c r="DAY103" s="450"/>
      <c r="DAZ103" s="450"/>
      <c r="DBA103" s="450"/>
      <c r="DBB103" s="450"/>
      <c r="DBC103" s="450"/>
      <c r="DBD103" s="450"/>
      <c r="DBE103" s="450"/>
      <c r="DBF103" s="450"/>
      <c r="DBG103" s="450"/>
      <c r="DBH103" s="450"/>
      <c r="DBI103" s="450"/>
      <c r="DBJ103" s="450"/>
      <c r="DBK103" s="450"/>
      <c r="DBL103" s="450"/>
      <c r="DBM103" s="450"/>
      <c r="DBN103" s="450"/>
      <c r="DBO103" s="450"/>
      <c r="DBP103" s="450"/>
      <c r="DBQ103" s="450"/>
      <c r="DBR103" s="450"/>
      <c r="DBS103" s="450"/>
      <c r="DBT103" s="450"/>
      <c r="DBU103" s="450"/>
      <c r="DBV103" s="450"/>
      <c r="DBW103" s="450"/>
      <c r="DBX103" s="450"/>
      <c r="DBY103" s="450"/>
      <c r="DBZ103" s="450"/>
      <c r="DCA103" s="450"/>
      <c r="DCB103" s="450"/>
      <c r="DCC103" s="450"/>
      <c r="DCD103" s="450"/>
      <c r="DCE103" s="450"/>
      <c r="DCF103" s="450"/>
      <c r="DCG103" s="450"/>
      <c r="DCH103" s="450"/>
      <c r="DCI103" s="450"/>
      <c r="DCJ103" s="450"/>
      <c r="DCK103" s="450"/>
      <c r="DCL103" s="450"/>
      <c r="DCM103" s="450"/>
      <c r="DCN103" s="450"/>
      <c r="DCO103" s="450"/>
      <c r="DCP103" s="450"/>
      <c r="DCQ103" s="450"/>
      <c r="DCR103" s="450"/>
      <c r="DCS103" s="450"/>
      <c r="DCT103" s="450"/>
      <c r="DCU103" s="450"/>
      <c r="DCV103" s="450"/>
      <c r="DCW103" s="450"/>
      <c r="DCX103" s="450"/>
      <c r="DCY103" s="450"/>
      <c r="DCZ103" s="450"/>
      <c r="DDA103" s="450"/>
      <c r="DDB103" s="450"/>
      <c r="DDC103" s="450"/>
      <c r="DDD103" s="450"/>
      <c r="DDE103" s="450"/>
      <c r="DDF103" s="450"/>
      <c r="DDG103" s="450"/>
      <c r="DDH103" s="450"/>
      <c r="DDI103" s="450"/>
      <c r="DDJ103" s="450"/>
      <c r="DDK103" s="450"/>
      <c r="DDL103" s="450"/>
      <c r="DDM103" s="450"/>
      <c r="DDN103" s="450"/>
      <c r="DDO103" s="450"/>
      <c r="DDP103" s="450"/>
      <c r="DDQ103" s="450"/>
      <c r="DDR103" s="450"/>
      <c r="DDS103" s="450"/>
      <c r="DDT103" s="450"/>
      <c r="DDU103" s="450"/>
      <c r="DDV103" s="450"/>
      <c r="DDW103" s="450"/>
      <c r="DDX103" s="450"/>
      <c r="DDY103" s="450"/>
      <c r="DDZ103" s="450"/>
      <c r="DEA103" s="450"/>
      <c r="DEB103" s="450"/>
      <c r="DEC103" s="450"/>
      <c r="DED103" s="450"/>
      <c r="DEE103" s="450"/>
      <c r="DEF103" s="450"/>
      <c r="DEG103" s="450"/>
      <c r="DEH103" s="450"/>
      <c r="DEI103" s="450"/>
      <c r="DEJ103" s="450"/>
      <c r="DEK103" s="450"/>
      <c r="DEL103" s="450"/>
      <c r="DEM103" s="450"/>
      <c r="DEN103" s="450"/>
      <c r="DEO103" s="450"/>
      <c r="DEP103" s="450"/>
      <c r="DEQ103" s="450"/>
      <c r="DER103" s="450"/>
      <c r="DES103" s="450"/>
      <c r="DET103" s="450"/>
      <c r="DEU103" s="450"/>
      <c r="DEV103" s="450"/>
      <c r="DEW103" s="450"/>
      <c r="DEX103" s="450"/>
      <c r="DEY103" s="450"/>
      <c r="DEZ103" s="450"/>
      <c r="DFA103" s="450"/>
      <c r="DFB103" s="450"/>
      <c r="DFC103" s="450"/>
      <c r="DFD103" s="450"/>
      <c r="DFE103" s="450"/>
      <c r="DFF103" s="450"/>
      <c r="DFG103" s="450"/>
      <c r="DFH103" s="450"/>
      <c r="DFI103" s="450"/>
      <c r="DFJ103" s="450"/>
      <c r="DFK103" s="450"/>
      <c r="DFL103" s="450"/>
      <c r="DFM103" s="450"/>
      <c r="DFN103" s="450"/>
      <c r="DFO103" s="450"/>
      <c r="DFP103" s="450"/>
      <c r="DFQ103" s="450"/>
      <c r="DFR103" s="450"/>
      <c r="DFS103" s="450"/>
      <c r="DFT103" s="450"/>
      <c r="DFU103" s="450"/>
      <c r="DFV103" s="450"/>
      <c r="DFW103" s="450"/>
      <c r="DFX103" s="450"/>
      <c r="DFY103" s="450"/>
      <c r="DFZ103" s="450"/>
      <c r="DGA103" s="450"/>
      <c r="DGB103" s="450"/>
      <c r="DGC103" s="450"/>
      <c r="DGD103" s="450"/>
      <c r="DGE103" s="450"/>
      <c r="DGF103" s="450"/>
      <c r="DGG103" s="450"/>
      <c r="DGH103" s="450"/>
      <c r="DGI103" s="450"/>
      <c r="DGJ103" s="450"/>
      <c r="DGK103" s="450"/>
      <c r="DGL103" s="450"/>
      <c r="DGM103" s="450"/>
      <c r="DGN103" s="450"/>
      <c r="DGO103" s="450"/>
      <c r="DGP103" s="450"/>
      <c r="DGQ103" s="450"/>
      <c r="DGR103" s="450"/>
      <c r="DGS103" s="450"/>
      <c r="DGT103" s="450"/>
      <c r="DGU103" s="450"/>
      <c r="DGV103" s="450"/>
      <c r="DGW103" s="450"/>
      <c r="DGX103" s="450"/>
      <c r="DGY103" s="450"/>
      <c r="DGZ103" s="450"/>
      <c r="DHA103" s="450"/>
      <c r="DHB103" s="450"/>
      <c r="DHC103" s="450"/>
      <c r="DHD103" s="450"/>
      <c r="DHE103" s="450"/>
      <c r="DHF103" s="450"/>
      <c r="DHG103" s="450"/>
      <c r="DHH103" s="450"/>
      <c r="DHI103" s="450"/>
      <c r="DHJ103" s="450"/>
      <c r="DHK103" s="450"/>
      <c r="DHL103" s="450"/>
      <c r="DHM103" s="450"/>
      <c r="DHN103" s="450"/>
      <c r="DHO103" s="450"/>
      <c r="DHP103" s="450"/>
      <c r="DHQ103" s="450"/>
      <c r="DHR103" s="450"/>
      <c r="DHS103" s="450"/>
      <c r="DHT103" s="450"/>
      <c r="DHU103" s="450"/>
      <c r="DHV103" s="450"/>
      <c r="DHW103" s="450"/>
      <c r="DHX103" s="450"/>
      <c r="DHY103" s="450"/>
      <c r="DHZ103" s="450"/>
      <c r="DIA103" s="450"/>
      <c r="DIB103" s="450"/>
      <c r="DIC103" s="450"/>
      <c r="DID103" s="450"/>
      <c r="DIE103" s="450"/>
      <c r="DIF103" s="450"/>
      <c r="DIG103" s="450"/>
      <c r="DIH103" s="450"/>
      <c r="DII103" s="450"/>
      <c r="DIJ103" s="450"/>
      <c r="DIK103" s="450"/>
      <c r="DIL103" s="450"/>
      <c r="DIM103" s="450"/>
      <c r="DIN103" s="450"/>
      <c r="DIO103" s="450"/>
      <c r="DIP103" s="450"/>
      <c r="DIQ103" s="450"/>
      <c r="DIR103" s="450"/>
      <c r="DIS103" s="450"/>
      <c r="DIT103" s="450"/>
      <c r="DIU103" s="450"/>
      <c r="DIV103" s="450"/>
      <c r="DIW103" s="450"/>
      <c r="DIX103" s="450"/>
      <c r="DIY103" s="450"/>
      <c r="DIZ103" s="450"/>
      <c r="DJA103" s="450"/>
      <c r="DJB103" s="450"/>
      <c r="DJC103" s="450"/>
      <c r="DJD103" s="450"/>
      <c r="DJE103" s="450"/>
      <c r="DJF103" s="450"/>
      <c r="DJG103" s="450"/>
      <c r="DJH103" s="450"/>
      <c r="DJI103" s="450"/>
      <c r="DJJ103" s="450"/>
      <c r="DJK103" s="450"/>
      <c r="DJL103" s="450"/>
      <c r="DJM103" s="450"/>
      <c r="DJN103" s="450"/>
      <c r="DJO103" s="450"/>
      <c r="DJP103" s="450"/>
      <c r="DJQ103" s="450"/>
      <c r="DJR103" s="450"/>
      <c r="DJS103" s="450"/>
      <c r="DJT103" s="450"/>
      <c r="DJU103" s="450"/>
      <c r="DJV103" s="450"/>
      <c r="DJW103" s="450"/>
      <c r="DJX103" s="450"/>
      <c r="DJY103" s="450"/>
      <c r="DJZ103" s="450"/>
      <c r="DKA103" s="450"/>
      <c r="DKB103" s="450"/>
      <c r="DKC103" s="450"/>
      <c r="DKD103" s="450"/>
      <c r="DKE103" s="450"/>
      <c r="DKF103" s="450"/>
      <c r="DKG103" s="450"/>
      <c r="DKH103" s="450"/>
      <c r="DKI103" s="450"/>
      <c r="DKJ103" s="450"/>
      <c r="DKK103" s="450"/>
      <c r="DKL103" s="450"/>
      <c r="DKM103" s="450"/>
      <c r="DKN103" s="450"/>
      <c r="DKO103" s="450"/>
      <c r="DKP103" s="450"/>
      <c r="DKQ103" s="450"/>
      <c r="DKR103" s="450"/>
      <c r="DKS103" s="450"/>
      <c r="DKT103" s="450"/>
      <c r="DKU103" s="450"/>
      <c r="DKV103" s="450"/>
      <c r="DKW103" s="450"/>
      <c r="DKX103" s="450"/>
      <c r="DKY103" s="450"/>
      <c r="DKZ103" s="450"/>
      <c r="DLA103" s="450"/>
      <c r="DLB103" s="450"/>
      <c r="DLC103" s="450"/>
      <c r="DLD103" s="450"/>
      <c r="DLE103" s="450"/>
      <c r="DLF103" s="450"/>
      <c r="DLG103" s="450"/>
      <c r="DLH103" s="450"/>
      <c r="DLI103" s="450"/>
      <c r="DLJ103" s="450"/>
      <c r="DLK103" s="450"/>
      <c r="DLL103" s="450"/>
      <c r="DLM103" s="450"/>
      <c r="DLN103" s="450"/>
      <c r="DLO103" s="450"/>
      <c r="DLP103" s="450"/>
      <c r="DLQ103" s="450"/>
      <c r="DLR103" s="450"/>
      <c r="DLS103" s="450"/>
      <c r="DLT103" s="450"/>
      <c r="DLU103" s="450"/>
      <c r="DLV103" s="450"/>
      <c r="DLW103" s="450"/>
      <c r="DLX103" s="450"/>
      <c r="DLY103" s="450"/>
      <c r="DLZ103" s="450"/>
      <c r="DMA103" s="450"/>
      <c r="DMB103" s="450"/>
      <c r="DMC103" s="450"/>
      <c r="DMD103" s="450"/>
      <c r="DME103" s="450"/>
      <c r="DMF103" s="450"/>
      <c r="DMG103" s="450"/>
      <c r="DMH103" s="450"/>
      <c r="DMI103" s="450"/>
      <c r="DMJ103" s="450"/>
      <c r="DMK103" s="450"/>
      <c r="DML103" s="450"/>
      <c r="DMM103" s="450"/>
      <c r="DMN103" s="450"/>
      <c r="DMO103" s="450"/>
      <c r="DMP103" s="450"/>
      <c r="DMQ103" s="450"/>
      <c r="DMR103" s="450"/>
      <c r="DMS103" s="450"/>
      <c r="DMT103" s="450"/>
      <c r="DMU103" s="450"/>
      <c r="DMV103" s="450"/>
      <c r="DMW103" s="450"/>
      <c r="DMX103" s="450"/>
      <c r="DMY103" s="450"/>
      <c r="DMZ103" s="450"/>
      <c r="DNA103" s="450"/>
      <c r="DNB103" s="450"/>
      <c r="DNC103" s="450"/>
      <c r="DND103" s="450"/>
      <c r="DNE103" s="450"/>
      <c r="DNF103" s="450"/>
      <c r="DNG103" s="450"/>
      <c r="DNH103" s="450"/>
      <c r="DNI103" s="450"/>
      <c r="DNJ103" s="450"/>
      <c r="DNK103" s="450"/>
      <c r="DNL103" s="450"/>
      <c r="DNM103" s="450"/>
      <c r="DNN103" s="450"/>
      <c r="DNO103" s="450"/>
      <c r="DNP103" s="450"/>
      <c r="DNQ103" s="450"/>
      <c r="DNR103" s="450"/>
      <c r="DNS103" s="450"/>
      <c r="DNT103" s="450"/>
      <c r="DNU103" s="450"/>
      <c r="DNV103" s="450"/>
      <c r="DNW103" s="450"/>
      <c r="DNX103" s="450"/>
      <c r="DNY103" s="450"/>
      <c r="DNZ103" s="450"/>
      <c r="DOA103" s="450"/>
      <c r="DOB103" s="450"/>
      <c r="DOC103" s="450"/>
      <c r="DOD103" s="450"/>
      <c r="DOE103" s="450"/>
      <c r="DOF103" s="450"/>
      <c r="DOG103" s="450"/>
      <c r="DOH103" s="450"/>
      <c r="DOI103" s="450"/>
      <c r="DOJ103" s="450"/>
      <c r="DOK103" s="450"/>
      <c r="DOL103" s="450"/>
      <c r="DOM103" s="450"/>
      <c r="DON103" s="450"/>
      <c r="DOO103" s="450"/>
      <c r="DOP103" s="450"/>
      <c r="DOQ103" s="450"/>
      <c r="DOR103" s="450"/>
      <c r="DOS103" s="450"/>
      <c r="DOT103" s="450"/>
      <c r="DOU103" s="450"/>
      <c r="DOV103" s="450"/>
      <c r="DOW103" s="450"/>
      <c r="DOX103" s="450"/>
      <c r="DOY103" s="450"/>
      <c r="DOZ103" s="450"/>
      <c r="DPA103" s="450"/>
      <c r="DPB103" s="450"/>
      <c r="DPC103" s="450"/>
      <c r="DPD103" s="450"/>
      <c r="DPE103" s="450"/>
      <c r="DPF103" s="450"/>
      <c r="DPG103" s="450"/>
      <c r="DPH103" s="450"/>
      <c r="DPI103" s="450"/>
      <c r="DPJ103" s="450"/>
      <c r="DPK103" s="450"/>
      <c r="DPL103" s="450"/>
      <c r="DPM103" s="450"/>
      <c r="DPN103" s="450"/>
      <c r="DPO103" s="450"/>
      <c r="DPP103" s="450"/>
      <c r="DPQ103" s="450"/>
      <c r="DPR103" s="450"/>
      <c r="DPS103" s="450"/>
      <c r="DPT103" s="450"/>
      <c r="DPU103" s="450"/>
      <c r="DPV103" s="450"/>
      <c r="DPW103" s="450"/>
      <c r="DPX103" s="450"/>
      <c r="DPY103" s="450"/>
      <c r="DPZ103" s="450"/>
      <c r="DQA103" s="450"/>
      <c r="DQB103" s="450"/>
      <c r="DQC103" s="450"/>
      <c r="DQD103" s="450"/>
      <c r="DQE103" s="450"/>
      <c r="DQF103" s="450"/>
      <c r="DQG103" s="450"/>
      <c r="DQH103" s="450"/>
      <c r="DQI103" s="450"/>
      <c r="DQJ103" s="450"/>
      <c r="DQK103" s="450"/>
      <c r="DQL103" s="450"/>
      <c r="DQM103" s="450"/>
      <c r="DQN103" s="450"/>
      <c r="DQO103" s="450"/>
      <c r="DQP103" s="450"/>
      <c r="DQQ103" s="450"/>
      <c r="DQR103" s="450"/>
      <c r="DQS103" s="450"/>
      <c r="DQT103" s="450"/>
      <c r="DQU103" s="450"/>
      <c r="DQV103" s="450"/>
      <c r="DQW103" s="450"/>
      <c r="DQX103" s="450"/>
      <c r="DQY103" s="450"/>
      <c r="DQZ103" s="450"/>
      <c r="DRA103" s="450"/>
      <c r="DRB103" s="450"/>
      <c r="DRC103" s="450"/>
      <c r="DRD103" s="450"/>
      <c r="DRE103" s="450"/>
      <c r="DRF103" s="450"/>
      <c r="DRG103" s="450"/>
      <c r="DRH103" s="450"/>
      <c r="DRI103" s="450"/>
      <c r="DRJ103" s="450"/>
      <c r="DRK103" s="450"/>
      <c r="DRL103" s="450"/>
      <c r="DRM103" s="450"/>
      <c r="DRN103" s="450"/>
      <c r="DRO103" s="450"/>
      <c r="DRP103" s="450"/>
      <c r="DRQ103" s="450"/>
      <c r="DRR103" s="450"/>
      <c r="DRS103" s="450"/>
      <c r="DRT103" s="450"/>
      <c r="DRU103" s="450"/>
      <c r="DRV103" s="450"/>
      <c r="DRW103" s="450"/>
      <c r="DRX103" s="450"/>
      <c r="DRY103" s="450"/>
      <c r="DRZ103" s="450"/>
      <c r="DSA103" s="450"/>
      <c r="DSB103" s="450"/>
      <c r="DSC103" s="450"/>
      <c r="DSD103" s="450"/>
      <c r="DSE103" s="450"/>
      <c r="DSF103" s="450"/>
      <c r="DSG103" s="450"/>
      <c r="DSH103" s="450"/>
      <c r="DSI103" s="450"/>
      <c r="DSJ103" s="450"/>
      <c r="DSK103" s="450"/>
      <c r="DSL103" s="450"/>
      <c r="DSM103" s="450"/>
      <c r="DSN103" s="450"/>
      <c r="DSO103" s="450"/>
      <c r="DSP103" s="450"/>
      <c r="DSQ103" s="450"/>
      <c r="DSR103" s="450"/>
      <c r="DSS103" s="450"/>
      <c r="DST103" s="450"/>
      <c r="DSU103" s="450"/>
      <c r="DSV103" s="450"/>
      <c r="DSW103" s="450"/>
      <c r="DSX103" s="450"/>
      <c r="DSY103" s="450"/>
      <c r="DSZ103" s="450"/>
      <c r="DTA103" s="450"/>
      <c r="DTB103" s="450"/>
      <c r="DTC103" s="450"/>
      <c r="DTD103" s="450"/>
      <c r="DTE103" s="450"/>
      <c r="DTF103" s="450"/>
      <c r="DTG103" s="450"/>
      <c r="DTH103" s="450"/>
      <c r="DTI103" s="450"/>
      <c r="DTJ103" s="450"/>
      <c r="DTK103" s="450"/>
      <c r="DTL103" s="450"/>
      <c r="DTM103" s="450"/>
      <c r="DTN103" s="450"/>
      <c r="DTO103" s="450"/>
      <c r="DTP103" s="450"/>
      <c r="DTQ103" s="450"/>
      <c r="DTR103" s="450"/>
      <c r="DTS103" s="450"/>
      <c r="DTT103" s="450"/>
      <c r="DTU103" s="450"/>
      <c r="DTV103" s="450"/>
      <c r="DTW103" s="450"/>
      <c r="DTX103" s="450"/>
      <c r="DTY103" s="450"/>
      <c r="DTZ103" s="450"/>
      <c r="DUA103" s="450"/>
      <c r="DUB103" s="450"/>
      <c r="DUC103" s="450"/>
      <c r="DUD103" s="450"/>
      <c r="DUE103" s="450"/>
      <c r="DUF103" s="450"/>
      <c r="DUG103" s="450"/>
      <c r="DUH103" s="450"/>
      <c r="DUI103" s="450"/>
      <c r="DUJ103" s="450"/>
      <c r="DUK103" s="450"/>
      <c r="DUL103" s="450"/>
      <c r="DUM103" s="450"/>
      <c r="DUN103" s="450"/>
      <c r="DUO103" s="450"/>
      <c r="DUP103" s="450"/>
      <c r="DUQ103" s="450"/>
      <c r="DUR103" s="450"/>
      <c r="DUS103" s="450"/>
      <c r="DUT103" s="450"/>
      <c r="DUU103" s="450"/>
      <c r="DUV103" s="450"/>
      <c r="DUW103" s="450"/>
      <c r="DUX103" s="450"/>
      <c r="DUY103" s="450"/>
      <c r="DUZ103" s="450"/>
      <c r="DVA103" s="450"/>
      <c r="DVB103" s="450"/>
      <c r="DVC103" s="450"/>
      <c r="DVD103" s="450"/>
      <c r="DVE103" s="450"/>
      <c r="DVF103" s="450"/>
      <c r="DVG103" s="450"/>
      <c r="DVH103" s="450"/>
      <c r="DVI103" s="450"/>
      <c r="DVJ103" s="450"/>
      <c r="DVK103" s="450"/>
      <c r="DVL103" s="450"/>
      <c r="DVM103" s="450"/>
      <c r="DVN103" s="450"/>
      <c r="DVO103" s="450"/>
      <c r="DVP103" s="450"/>
      <c r="DVQ103" s="450"/>
      <c r="DVR103" s="450"/>
      <c r="DVS103" s="450"/>
      <c r="DVT103" s="450"/>
      <c r="DVU103" s="450"/>
      <c r="DVV103" s="450"/>
      <c r="DVW103" s="450"/>
      <c r="DVX103" s="450"/>
      <c r="DVY103" s="450"/>
      <c r="DVZ103" s="450"/>
      <c r="DWA103" s="450"/>
      <c r="DWB103" s="450"/>
      <c r="DWC103" s="450"/>
      <c r="DWD103" s="450"/>
      <c r="DWE103" s="450"/>
      <c r="DWF103" s="450"/>
      <c r="DWG103" s="450"/>
      <c r="DWH103" s="450"/>
      <c r="DWI103" s="450"/>
      <c r="DWJ103" s="450"/>
      <c r="DWK103" s="450"/>
      <c r="DWL103" s="450"/>
      <c r="DWM103" s="450"/>
      <c r="DWN103" s="450"/>
      <c r="DWO103" s="450"/>
      <c r="DWP103" s="450"/>
      <c r="DWQ103" s="450"/>
      <c r="DWR103" s="450"/>
      <c r="DWS103" s="450"/>
      <c r="DWT103" s="450"/>
      <c r="DWU103" s="450"/>
      <c r="DWV103" s="450"/>
      <c r="DWW103" s="450"/>
      <c r="DWX103" s="450"/>
      <c r="DWY103" s="450"/>
      <c r="DWZ103" s="450"/>
      <c r="DXA103" s="450"/>
      <c r="DXB103" s="450"/>
      <c r="DXC103" s="450"/>
      <c r="DXD103" s="450"/>
      <c r="DXE103" s="450"/>
      <c r="DXF103" s="450"/>
      <c r="DXG103" s="450"/>
      <c r="DXH103" s="450"/>
      <c r="DXI103" s="450"/>
      <c r="DXJ103" s="450"/>
      <c r="DXK103" s="450"/>
      <c r="DXL103" s="450"/>
      <c r="DXM103" s="450"/>
      <c r="DXN103" s="450"/>
      <c r="DXO103" s="450"/>
      <c r="DXP103" s="450"/>
      <c r="DXQ103" s="450"/>
      <c r="DXR103" s="450"/>
      <c r="DXS103" s="450"/>
      <c r="DXT103" s="450"/>
      <c r="DXU103" s="450"/>
      <c r="DXV103" s="450"/>
      <c r="DXW103" s="450"/>
      <c r="DXX103" s="450"/>
      <c r="DXY103" s="450"/>
      <c r="DXZ103" s="450"/>
      <c r="DYA103" s="450"/>
      <c r="DYB103" s="450"/>
      <c r="DYC103" s="450"/>
      <c r="DYD103" s="450"/>
      <c r="DYE103" s="450"/>
      <c r="DYF103" s="450"/>
      <c r="DYG103" s="450"/>
      <c r="DYH103" s="450"/>
      <c r="DYI103" s="450"/>
      <c r="DYJ103" s="450"/>
      <c r="DYK103" s="450"/>
      <c r="DYL103" s="450"/>
      <c r="DYM103" s="450"/>
      <c r="DYN103" s="450"/>
      <c r="DYO103" s="450"/>
      <c r="DYP103" s="450"/>
      <c r="DYQ103" s="450"/>
      <c r="DYR103" s="450"/>
      <c r="DYS103" s="450"/>
      <c r="DYT103" s="450"/>
      <c r="DYU103" s="450"/>
      <c r="DYV103" s="450"/>
      <c r="DYW103" s="450"/>
      <c r="DYX103" s="450"/>
      <c r="DYY103" s="450"/>
      <c r="DYZ103" s="450"/>
      <c r="DZA103" s="450"/>
      <c r="DZB103" s="450"/>
      <c r="DZC103" s="450"/>
      <c r="DZD103" s="450"/>
      <c r="DZE103" s="450"/>
      <c r="DZF103" s="450"/>
      <c r="DZG103" s="450"/>
      <c r="DZH103" s="450"/>
      <c r="DZI103" s="450"/>
      <c r="DZJ103" s="450"/>
      <c r="DZK103" s="450"/>
      <c r="DZL103" s="450"/>
      <c r="DZM103" s="450"/>
      <c r="DZN103" s="450"/>
      <c r="DZO103" s="450"/>
      <c r="DZP103" s="450"/>
      <c r="DZQ103" s="450"/>
      <c r="DZR103" s="450"/>
      <c r="DZS103" s="450"/>
      <c r="DZT103" s="450"/>
      <c r="DZU103" s="450"/>
      <c r="DZV103" s="450"/>
      <c r="DZW103" s="450"/>
      <c r="DZX103" s="450"/>
      <c r="DZY103" s="450"/>
      <c r="DZZ103" s="450"/>
      <c r="EAA103" s="450"/>
      <c r="EAB103" s="450"/>
      <c r="EAC103" s="450"/>
      <c r="EAD103" s="450"/>
      <c r="EAE103" s="450"/>
      <c r="EAF103" s="450"/>
      <c r="EAG103" s="450"/>
      <c r="EAH103" s="450"/>
      <c r="EAI103" s="450"/>
      <c r="EAJ103" s="450"/>
      <c r="EAK103" s="450"/>
      <c r="EAL103" s="450"/>
      <c r="EAM103" s="450"/>
      <c r="EAN103" s="450"/>
      <c r="EAO103" s="450"/>
      <c r="EAP103" s="450"/>
      <c r="EAQ103" s="450"/>
      <c r="EAR103" s="450"/>
      <c r="EAS103" s="450"/>
      <c r="EAT103" s="450"/>
      <c r="EAU103" s="450"/>
      <c r="EAV103" s="450"/>
      <c r="EAW103" s="450"/>
      <c r="EAX103" s="450"/>
      <c r="EAY103" s="450"/>
      <c r="EAZ103" s="450"/>
      <c r="EBA103" s="450"/>
      <c r="EBB103" s="450"/>
      <c r="EBC103" s="450"/>
      <c r="EBD103" s="450"/>
      <c r="EBE103" s="450"/>
      <c r="EBF103" s="450"/>
      <c r="EBG103" s="450"/>
      <c r="EBH103" s="450"/>
      <c r="EBI103" s="450"/>
      <c r="EBJ103" s="450"/>
      <c r="EBK103" s="450"/>
      <c r="EBL103" s="450"/>
      <c r="EBM103" s="450"/>
      <c r="EBN103" s="450"/>
      <c r="EBO103" s="450"/>
      <c r="EBP103" s="450"/>
      <c r="EBQ103" s="450"/>
      <c r="EBR103" s="450"/>
      <c r="EBS103" s="450"/>
      <c r="EBT103" s="450"/>
      <c r="EBU103" s="450"/>
      <c r="EBV103" s="450"/>
      <c r="EBW103" s="450"/>
      <c r="EBX103" s="450"/>
      <c r="EBY103" s="450"/>
      <c r="EBZ103" s="450"/>
      <c r="ECA103" s="450"/>
      <c r="ECB103" s="450"/>
      <c r="ECC103" s="450"/>
      <c r="ECD103" s="450"/>
      <c r="ECE103" s="450"/>
      <c r="ECF103" s="450"/>
      <c r="ECG103" s="450"/>
      <c r="ECH103" s="450"/>
      <c r="ECI103" s="450"/>
      <c r="ECJ103" s="450"/>
      <c r="ECK103" s="450"/>
      <c r="ECL103" s="450"/>
      <c r="ECM103" s="450"/>
      <c r="ECN103" s="450"/>
      <c r="ECO103" s="450"/>
      <c r="ECP103" s="450"/>
      <c r="ECQ103" s="450"/>
      <c r="ECR103" s="450"/>
      <c r="ECS103" s="450"/>
      <c r="ECT103" s="450"/>
      <c r="ECU103" s="450"/>
      <c r="ECV103" s="450"/>
      <c r="ECW103" s="450"/>
      <c r="ECX103" s="450"/>
      <c r="ECY103" s="450"/>
      <c r="ECZ103" s="450"/>
      <c r="EDA103" s="450"/>
      <c r="EDB103" s="450"/>
      <c r="EDC103" s="450"/>
      <c r="EDD103" s="450"/>
      <c r="EDE103" s="450"/>
      <c r="EDF103" s="450"/>
      <c r="EDG103" s="450"/>
      <c r="EDH103" s="450"/>
      <c r="EDI103" s="450"/>
      <c r="EDJ103" s="450"/>
      <c r="EDK103" s="450"/>
      <c r="EDL103" s="450"/>
      <c r="EDM103" s="450"/>
      <c r="EDN103" s="450"/>
      <c r="EDO103" s="450"/>
      <c r="EDP103" s="450"/>
      <c r="EDQ103" s="450"/>
      <c r="EDR103" s="450"/>
      <c r="EDS103" s="450"/>
      <c r="EDT103" s="450"/>
      <c r="EDU103" s="450"/>
      <c r="EDV103" s="450"/>
      <c r="EDW103" s="450"/>
      <c r="EDX103" s="450"/>
      <c r="EDY103" s="450"/>
      <c r="EDZ103" s="450"/>
      <c r="EEA103" s="450"/>
      <c r="EEB103" s="450"/>
      <c r="EEC103" s="450"/>
      <c r="EED103" s="450"/>
      <c r="EEE103" s="450"/>
      <c r="EEF103" s="450"/>
      <c r="EEG103" s="450"/>
      <c r="EEH103" s="450"/>
      <c r="EEI103" s="450"/>
      <c r="EEJ103" s="450"/>
      <c r="EEK103" s="450"/>
      <c r="EEL103" s="450"/>
      <c r="EEM103" s="450"/>
      <c r="EEN103" s="450"/>
      <c r="EEO103" s="450"/>
      <c r="EEP103" s="450"/>
      <c r="EEQ103" s="450"/>
      <c r="EER103" s="450"/>
      <c r="EES103" s="450"/>
      <c r="EET103" s="450"/>
      <c r="EEU103" s="450"/>
      <c r="EEV103" s="450"/>
      <c r="EEW103" s="450"/>
      <c r="EEX103" s="450"/>
      <c r="EEY103" s="450"/>
      <c r="EEZ103" s="450"/>
      <c r="EFA103" s="450"/>
      <c r="EFB103" s="450"/>
      <c r="EFC103" s="450"/>
      <c r="EFD103" s="450"/>
      <c r="EFE103" s="450"/>
      <c r="EFF103" s="450"/>
      <c r="EFG103" s="450"/>
      <c r="EFH103" s="450"/>
      <c r="EFI103" s="450"/>
      <c r="EFJ103" s="450"/>
      <c r="EFK103" s="450"/>
      <c r="EFL103" s="450"/>
      <c r="EFM103" s="450"/>
      <c r="EFN103" s="450"/>
      <c r="EFO103" s="450"/>
      <c r="EFP103" s="450"/>
      <c r="EFQ103" s="450"/>
      <c r="EFR103" s="450"/>
      <c r="EFS103" s="450"/>
      <c r="EFT103" s="450"/>
      <c r="EFU103" s="450"/>
      <c r="EFV103" s="450"/>
      <c r="EFW103" s="450"/>
      <c r="EFX103" s="450"/>
      <c r="EFY103" s="450"/>
      <c r="EFZ103" s="450"/>
      <c r="EGA103" s="450"/>
      <c r="EGB103" s="450"/>
      <c r="EGC103" s="450"/>
      <c r="EGD103" s="450"/>
      <c r="EGE103" s="450"/>
      <c r="EGF103" s="450"/>
      <c r="EGG103" s="450"/>
      <c r="EGH103" s="450"/>
      <c r="EGI103" s="450"/>
      <c r="EGJ103" s="450"/>
      <c r="EGK103" s="450"/>
      <c r="EGL103" s="450"/>
      <c r="EGM103" s="450"/>
      <c r="EGN103" s="450"/>
      <c r="EGO103" s="450"/>
      <c r="EGP103" s="450"/>
      <c r="EGQ103" s="450"/>
      <c r="EGR103" s="450"/>
      <c r="EGS103" s="450"/>
      <c r="EGT103" s="450"/>
      <c r="EGU103" s="450"/>
      <c r="EGV103" s="450"/>
      <c r="EGW103" s="450"/>
      <c r="EGX103" s="450"/>
      <c r="EGY103" s="450"/>
      <c r="EGZ103" s="450"/>
      <c r="EHA103" s="450"/>
      <c r="EHB103" s="450"/>
      <c r="EHC103" s="450"/>
      <c r="EHD103" s="450"/>
      <c r="EHE103" s="450"/>
      <c r="EHF103" s="450"/>
      <c r="EHG103" s="450"/>
      <c r="EHH103" s="450"/>
      <c r="EHI103" s="450"/>
      <c r="EHJ103" s="450"/>
      <c r="EHK103" s="450"/>
      <c r="EHL103" s="450"/>
      <c r="EHM103" s="450"/>
      <c r="EHN103" s="450"/>
      <c r="EHO103" s="450"/>
      <c r="EHP103" s="450"/>
      <c r="EHQ103" s="450"/>
      <c r="EHR103" s="450"/>
      <c r="EHS103" s="450"/>
      <c r="EHT103" s="450"/>
      <c r="EHU103" s="450"/>
      <c r="EHV103" s="450"/>
      <c r="EHW103" s="450"/>
      <c r="EHX103" s="450"/>
      <c r="EHY103" s="450"/>
      <c r="EHZ103" s="450"/>
      <c r="EIA103" s="450"/>
      <c r="EIB103" s="450"/>
      <c r="EIC103" s="450"/>
      <c r="EID103" s="450"/>
      <c r="EIE103" s="450"/>
      <c r="EIF103" s="450"/>
      <c r="EIG103" s="450"/>
      <c r="EIH103" s="450"/>
      <c r="EII103" s="450"/>
      <c r="EIJ103" s="450"/>
      <c r="EIK103" s="450"/>
      <c r="EIL103" s="450"/>
      <c r="EIM103" s="450"/>
      <c r="EIN103" s="450"/>
      <c r="EIO103" s="450"/>
      <c r="EIP103" s="450"/>
      <c r="EIQ103" s="450"/>
      <c r="EIR103" s="450"/>
      <c r="EIS103" s="450"/>
      <c r="EIT103" s="450"/>
      <c r="EIU103" s="450"/>
      <c r="EIV103" s="450"/>
      <c r="EIW103" s="450"/>
      <c r="EIX103" s="450"/>
      <c r="EIY103" s="450"/>
      <c r="EIZ103" s="450"/>
      <c r="EJA103" s="450"/>
      <c r="EJB103" s="450"/>
      <c r="EJC103" s="450"/>
      <c r="EJD103" s="450"/>
      <c r="EJE103" s="450"/>
      <c r="EJF103" s="450"/>
      <c r="EJG103" s="450"/>
      <c r="EJH103" s="450"/>
      <c r="EJI103" s="450"/>
      <c r="EJJ103" s="450"/>
      <c r="EJK103" s="450"/>
      <c r="EJL103" s="450"/>
      <c r="EJM103" s="450"/>
      <c r="EJN103" s="450"/>
      <c r="EJO103" s="450"/>
      <c r="EJP103" s="450"/>
      <c r="EJQ103" s="450"/>
      <c r="EJR103" s="450"/>
      <c r="EJS103" s="450"/>
      <c r="EJT103" s="450"/>
      <c r="EJU103" s="450"/>
      <c r="EJV103" s="450"/>
      <c r="EJW103" s="450"/>
      <c r="EJX103" s="450"/>
      <c r="EJY103" s="450"/>
      <c r="EJZ103" s="450"/>
      <c r="EKA103" s="450"/>
      <c r="EKB103" s="450"/>
      <c r="EKC103" s="450"/>
      <c r="EKD103" s="450"/>
      <c r="EKE103" s="450"/>
      <c r="EKF103" s="450"/>
      <c r="EKG103" s="450"/>
      <c r="EKH103" s="450"/>
      <c r="EKI103" s="450"/>
      <c r="EKJ103" s="450"/>
      <c r="EKK103" s="450"/>
      <c r="EKL103" s="450"/>
      <c r="EKM103" s="450"/>
      <c r="EKN103" s="450"/>
      <c r="EKO103" s="450"/>
      <c r="EKP103" s="450"/>
      <c r="EKQ103" s="450"/>
      <c r="EKR103" s="450"/>
      <c r="EKS103" s="450"/>
      <c r="EKT103" s="450"/>
      <c r="EKU103" s="450"/>
      <c r="EKV103" s="450"/>
      <c r="EKW103" s="450"/>
      <c r="EKX103" s="450"/>
      <c r="EKY103" s="450"/>
      <c r="EKZ103" s="450"/>
      <c r="ELA103" s="450"/>
      <c r="ELB103" s="450"/>
      <c r="ELC103" s="450"/>
      <c r="ELD103" s="450"/>
      <c r="ELE103" s="450"/>
      <c r="ELF103" s="450"/>
      <c r="ELG103" s="450"/>
      <c r="ELH103" s="450"/>
      <c r="ELI103" s="450"/>
      <c r="ELJ103" s="450"/>
      <c r="ELK103" s="450"/>
      <c r="ELL103" s="450"/>
      <c r="ELM103" s="450"/>
      <c r="ELN103" s="450"/>
      <c r="ELO103" s="450"/>
      <c r="ELP103" s="450"/>
      <c r="ELQ103" s="450"/>
      <c r="ELR103" s="450"/>
      <c r="ELS103" s="450"/>
      <c r="ELT103" s="450"/>
      <c r="ELU103" s="450"/>
      <c r="ELV103" s="450"/>
      <c r="ELW103" s="450"/>
      <c r="ELX103" s="450"/>
      <c r="ELY103" s="450"/>
      <c r="ELZ103" s="450"/>
      <c r="EMA103" s="450"/>
      <c r="EMB103" s="450"/>
      <c r="EMC103" s="450"/>
      <c r="EMD103" s="450"/>
      <c r="EME103" s="450"/>
      <c r="EMF103" s="450"/>
      <c r="EMG103" s="450"/>
      <c r="EMH103" s="450"/>
      <c r="EMI103" s="450"/>
      <c r="EMJ103" s="450"/>
      <c r="EMK103" s="450"/>
      <c r="EML103" s="450"/>
      <c r="EMM103" s="450"/>
      <c r="EMN103" s="450"/>
      <c r="EMO103" s="450"/>
      <c r="EMP103" s="450"/>
      <c r="EMQ103" s="450"/>
      <c r="EMR103" s="450"/>
      <c r="EMS103" s="450"/>
      <c r="EMT103" s="450"/>
      <c r="EMU103" s="450"/>
      <c r="EMV103" s="450"/>
      <c r="EMW103" s="450"/>
      <c r="EMX103" s="450"/>
      <c r="EMY103" s="450"/>
      <c r="EMZ103" s="450"/>
      <c r="ENA103" s="450"/>
      <c r="ENB103" s="450"/>
      <c r="ENC103" s="450"/>
      <c r="END103" s="450"/>
      <c r="ENE103" s="450"/>
      <c r="ENF103" s="450"/>
      <c r="ENG103" s="450"/>
      <c r="ENH103" s="450"/>
      <c r="ENI103" s="450"/>
      <c r="ENJ103" s="450"/>
      <c r="ENK103" s="450"/>
      <c r="ENL103" s="450"/>
      <c r="ENM103" s="450"/>
      <c r="ENN103" s="450"/>
      <c r="ENO103" s="450"/>
      <c r="ENP103" s="450"/>
      <c r="ENQ103" s="450"/>
      <c r="ENR103" s="450"/>
      <c r="ENS103" s="450"/>
      <c r="ENT103" s="450"/>
      <c r="ENU103" s="450"/>
      <c r="ENV103" s="450"/>
      <c r="ENW103" s="450"/>
      <c r="ENX103" s="450"/>
      <c r="ENY103" s="450"/>
      <c r="ENZ103" s="450"/>
      <c r="EOA103" s="450"/>
      <c r="EOB103" s="450"/>
      <c r="EOC103" s="450"/>
      <c r="EOD103" s="450"/>
      <c r="EOE103" s="450"/>
      <c r="EOF103" s="450"/>
      <c r="EOG103" s="450"/>
      <c r="EOH103" s="450"/>
      <c r="EOI103" s="450"/>
      <c r="EOJ103" s="450"/>
      <c r="EOK103" s="450"/>
      <c r="EOL103" s="450"/>
      <c r="EOM103" s="450"/>
      <c r="EON103" s="450"/>
      <c r="EOO103" s="450"/>
      <c r="EOP103" s="450"/>
      <c r="EOQ103" s="450"/>
      <c r="EOR103" s="450"/>
      <c r="EOS103" s="450"/>
      <c r="EOT103" s="450"/>
      <c r="EOU103" s="450"/>
      <c r="EOV103" s="450"/>
      <c r="EOW103" s="450"/>
      <c r="EOX103" s="450"/>
      <c r="EOY103" s="450"/>
      <c r="EOZ103" s="450"/>
      <c r="EPA103" s="450"/>
      <c r="EPB103" s="450"/>
      <c r="EPC103" s="450"/>
      <c r="EPD103" s="450"/>
      <c r="EPE103" s="450"/>
      <c r="EPF103" s="450"/>
      <c r="EPG103" s="450"/>
      <c r="EPH103" s="450"/>
      <c r="EPI103" s="450"/>
      <c r="EPJ103" s="450"/>
      <c r="EPK103" s="450"/>
      <c r="EPL103" s="450"/>
      <c r="EPM103" s="450"/>
      <c r="EPN103" s="450"/>
      <c r="EPO103" s="450"/>
      <c r="EPP103" s="450"/>
      <c r="EPQ103" s="450"/>
      <c r="EPR103" s="450"/>
      <c r="EPS103" s="450"/>
      <c r="EPT103" s="450"/>
      <c r="EPU103" s="450"/>
      <c r="EPV103" s="450"/>
      <c r="EPW103" s="450"/>
      <c r="EPX103" s="450"/>
      <c r="EPY103" s="450"/>
      <c r="EPZ103" s="450"/>
      <c r="EQA103" s="450"/>
      <c r="EQB103" s="450"/>
      <c r="EQC103" s="450"/>
      <c r="EQD103" s="450"/>
      <c r="EQE103" s="450"/>
      <c r="EQF103" s="450"/>
      <c r="EQG103" s="450"/>
      <c r="EQH103" s="450"/>
      <c r="EQI103" s="450"/>
      <c r="EQJ103" s="450"/>
      <c r="EQK103" s="450"/>
      <c r="EQL103" s="450"/>
      <c r="EQM103" s="450"/>
      <c r="EQN103" s="450"/>
      <c r="EQO103" s="450"/>
      <c r="EQP103" s="450"/>
      <c r="EQQ103" s="450"/>
      <c r="EQR103" s="450"/>
      <c r="EQS103" s="450"/>
      <c r="EQT103" s="450"/>
      <c r="EQU103" s="450"/>
      <c r="EQV103" s="450"/>
      <c r="EQW103" s="450"/>
      <c r="EQX103" s="450"/>
      <c r="EQY103" s="450"/>
      <c r="EQZ103" s="450"/>
      <c r="ERA103" s="450"/>
      <c r="ERB103" s="450"/>
      <c r="ERC103" s="450"/>
      <c r="ERD103" s="450"/>
      <c r="ERE103" s="450"/>
      <c r="ERF103" s="450"/>
      <c r="ERG103" s="450"/>
      <c r="ERH103" s="450"/>
      <c r="ERI103" s="450"/>
      <c r="ERJ103" s="450"/>
      <c r="ERK103" s="450"/>
      <c r="ERL103" s="450"/>
      <c r="ERM103" s="450"/>
      <c r="ERN103" s="450"/>
      <c r="ERO103" s="450"/>
      <c r="ERP103" s="450"/>
      <c r="ERQ103" s="450"/>
      <c r="ERR103" s="450"/>
      <c r="ERS103" s="450"/>
      <c r="ERT103" s="450"/>
      <c r="ERU103" s="450"/>
      <c r="ERV103" s="450"/>
      <c r="ERW103" s="450"/>
      <c r="ERX103" s="450"/>
      <c r="ERY103" s="450"/>
      <c r="ERZ103" s="450"/>
      <c r="ESA103" s="450"/>
      <c r="ESB103" s="450"/>
      <c r="ESC103" s="450"/>
      <c r="ESD103" s="450"/>
      <c r="ESE103" s="450"/>
      <c r="ESF103" s="450"/>
      <c r="ESG103" s="450"/>
      <c r="ESH103" s="450"/>
      <c r="ESI103" s="450"/>
      <c r="ESJ103" s="450"/>
      <c r="ESK103" s="450"/>
      <c r="ESL103" s="450"/>
      <c r="ESM103" s="450"/>
      <c r="ESN103" s="450"/>
      <c r="ESO103" s="450"/>
      <c r="ESP103" s="450"/>
      <c r="ESQ103" s="450"/>
      <c r="ESR103" s="450"/>
      <c r="ESS103" s="450"/>
      <c r="EST103" s="450"/>
      <c r="ESU103" s="450"/>
      <c r="ESV103" s="450"/>
      <c r="ESW103" s="450"/>
      <c r="ESX103" s="450"/>
      <c r="ESY103" s="450"/>
      <c r="ESZ103" s="450"/>
      <c r="ETA103" s="450"/>
      <c r="ETB103" s="450"/>
      <c r="ETC103" s="450"/>
      <c r="ETD103" s="450"/>
      <c r="ETE103" s="450"/>
      <c r="ETF103" s="450"/>
      <c r="ETG103" s="450"/>
      <c r="ETH103" s="450"/>
      <c r="ETI103" s="450"/>
      <c r="ETJ103" s="450"/>
      <c r="ETK103" s="450"/>
      <c r="ETL103" s="450"/>
      <c r="ETM103" s="450"/>
      <c r="ETN103" s="450"/>
      <c r="ETO103" s="450"/>
      <c r="ETP103" s="450"/>
      <c r="ETQ103" s="450"/>
      <c r="ETR103" s="450"/>
      <c r="ETS103" s="450"/>
      <c r="ETT103" s="450"/>
      <c r="ETU103" s="450"/>
      <c r="ETV103" s="450"/>
      <c r="ETW103" s="450"/>
      <c r="ETX103" s="450"/>
      <c r="ETY103" s="450"/>
      <c r="ETZ103" s="450"/>
      <c r="EUA103" s="450"/>
      <c r="EUB103" s="450"/>
      <c r="EUC103" s="450"/>
      <c r="EUD103" s="450"/>
      <c r="EUE103" s="450"/>
      <c r="EUF103" s="450"/>
      <c r="EUG103" s="450"/>
      <c r="EUH103" s="450"/>
      <c r="EUI103" s="450"/>
      <c r="EUJ103" s="450"/>
      <c r="EUK103" s="450"/>
      <c r="EUL103" s="450"/>
      <c r="EUM103" s="450"/>
      <c r="EUN103" s="450"/>
      <c r="EUO103" s="450"/>
      <c r="EUP103" s="450"/>
      <c r="EUQ103" s="450"/>
      <c r="EUR103" s="450"/>
      <c r="EUS103" s="450"/>
      <c r="EUT103" s="450"/>
      <c r="EUU103" s="450"/>
      <c r="EUV103" s="450"/>
      <c r="EUW103" s="450"/>
      <c r="EUX103" s="450"/>
      <c r="EUY103" s="450"/>
      <c r="EUZ103" s="450"/>
      <c r="EVA103" s="450"/>
      <c r="EVB103" s="450"/>
      <c r="EVC103" s="450"/>
      <c r="EVD103" s="450"/>
      <c r="EVE103" s="450"/>
      <c r="EVF103" s="450"/>
      <c r="EVG103" s="450"/>
      <c r="EVH103" s="450"/>
      <c r="EVI103" s="450"/>
      <c r="EVJ103" s="450"/>
      <c r="EVK103" s="450"/>
      <c r="EVL103" s="450"/>
      <c r="EVM103" s="450"/>
      <c r="EVN103" s="450"/>
      <c r="EVO103" s="450"/>
      <c r="EVP103" s="450"/>
      <c r="EVQ103" s="450"/>
      <c r="EVR103" s="450"/>
      <c r="EVS103" s="450"/>
      <c r="EVT103" s="450"/>
      <c r="EVU103" s="450"/>
      <c r="EVV103" s="450"/>
      <c r="EVW103" s="450"/>
      <c r="EVX103" s="450"/>
      <c r="EVY103" s="450"/>
      <c r="EVZ103" s="450"/>
      <c r="EWA103" s="450"/>
      <c r="EWB103" s="450"/>
      <c r="EWC103" s="450"/>
      <c r="EWD103" s="450"/>
      <c r="EWE103" s="450"/>
      <c r="EWF103" s="450"/>
      <c r="EWG103" s="450"/>
      <c r="EWH103" s="450"/>
      <c r="EWI103" s="450"/>
      <c r="EWJ103" s="450"/>
      <c r="EWK103" s="450"/>
      <c r="EWL103" s="450"/>
      <c r="EWM103" s="450"/>
      <c r="EWN103" s="450"/>
      <c r="EWO103" s="450"/>
      <c r="EWP103" s="450"/>
      <c r="EWQ103" s="450"/>
      <c r="EWR103" s="450"/>
      <c r="EWS103" s="450"/>
      <c r="EWT103" s="450"/>
      <c r="EWU103" s="450"/>
      <c r="EWV103" s="450"/>
      <c r="EWW103" s="450"/>
      <c r="EWX103" s="450"/>
      <c r="EWY103" s="450"/>
      <c r="EWZ103" s="450"/>
      <c r="EXA103" s="450"/>
      <c r="EXB103" s="450"/>
      <c r="EXC103" s="450"/>
      <c r="EXD103" s="450"/>
      <c r="EXE103" s="450"/>
      <c r="EXF103" s="450"/>
      <c r="EXG103" s="450"/>
      <c r="EXH103" s="450"/>
      <c r="EXI103" s="450"/>
      <c r="EXJ103" s="450"/>
      <c r="EXK103" s="450"/>
      <c r="EXL103" s="450"/>
      <c r="EXM103" s="450"/>
      <c r="EXN103" s="450"/>
      <c r="EXO103" s="450"/>
      <c r="EXP103" s="450"/>
      <c r="EXQ103" s="450"/>
      <c r="EXR103" s="450"/>
      <c r="EXS103" s="450"/>
      <c r="EXT103" s="450"/>
      <c r="EXU103" s="450"/>
      <c r="EXV103" s="450"/>
      <c r="EXW103" s="450"/>
      <c r="EXX103" s="450"/>
      <c r="EXY103" s="450"/>
      <c r="EXZ103" s="450"/>
      <c r="EYA103" s="450"/>
      <c r="EYB103" s="450"/>
      <c r="EYC103" s="450"/>
      <c r="EYD103" s="450"/>
      <c r="EYE103" s="450"/>
      <c r="EYF103" s="450"/>
      <c r="EYG103" s="450"/>
      <c r="EYH103" s="450"/>
      <c r="EYI103" s="450"/>
      <c r="EYJ103" s="450"/>
      <c r="EYK103" s="450"/>
      <c r="EYL103" s="450"/>
      <c r="EYM103" s="450"/>
      <c r="EYN103" s="450"/>
      <c r="EYO103" s="450"/>
      <c r="EYP103" s="450"/>
      <c r="EYQ103" s="450"/>
      <c r="EYR103" s="450"/>
      <c r="EYS103" s="450"/>
      <c r="EYT103" s="450"/>
      <c r="EYU103" s="450"/>
      <c r="EYV103" s="450"/>
      <c r="EYW103" s="450"/>
      <c r="EYX103" s="450"/>
      <c r="EYY103" s="450"/>
      <c r="EYZ103" s="450"/>
      <c r="EZA103" s="450"/>
      <c r="EZB103" s="450"/>
      <c r="EZC103" s="450"/>
      <c r="EZD103" s="450"/>
      <c r="EZE103" s="450"/>
      <c r="EZF103" s="450"/>
      <c r="EZG103" s="450"/>
      <c r="EZH103" s="450"/>
      <c r="EZI103" s="450"/>
      <c r="EZJ103" s="450"/>
      <c r="EZK103" s="450"/>
      <c r="EZL103" s="450"/>
      <c r="EZM103" s="450"/>
      <c r="EZN103" s="450"/>
      <c r="EZO103" s="450"/>
      <c r="EZP103" s="450"/>
      <c r="EZQ103" s="450"/>
      <c r="EZR103" s="450"/>
      <c r="EZS103" s="450"/>
      <c r="EZT103" s="450"/>
      <c r="EZU103" s="450"/>
      <c r="EZV103" s="450"/>
      <c r="EZW103" s="450"/>
      <c r="EZX103" s="450"/>
      <c r="EZY103" s="450"/>
      <c r="EZZ103" s="450"/>
      <c r="FAA103" s="450"/>
      <c r="FAB103" s="450"/>
      <c r="FAC103" s="450"/>
      <c r="FAD103" s="450"/>
      <c r="FAE103" s="450"/>
      <c r="FAF103" s="450"/>
      <c r="FAG103" s="450"/>
      <c r="FAH103" s="450"/>
      <c r="FAI103" s="450"/>
      <c r="FAJ103" s="450"/>
      <c r="FAK103" s="450"/>
      <c r="FAL103" s="450"/>
      <c r="FAM103" s="450"/>
      <c r="FAN103" s="450"/>
      <c r="FAO103" s="450"/>
      <c r="FAP103" s="450"/>
      <c r="FAQ103" s="450"/>
      <c r="FAR103" s="450"/>
      <c r="FAS103" s="450"/>
      <c r="FAT103" s="450"/>
      <c r="FAU103" s="450"/>
      <c r="FAV103" s="450"/>
      <c r="FAW103" s="450"/>
      <c r="FAX103" s="450"/>
      <c r="FAY103" s="450"/>
      <c r="FAZ103" s="450"/>
      <c r="FBA103" s="450"/>
      <c r="FBB103" s="450"/>
      <c r="FBC103" s="450"/>
      <c r="FBD103" s="450"/>
      <c r="FBE103" s="450"/>
      <c r="FBF103" s="450"/>
      <c r="FBG103" s="450"/>
      <c r="FBH103" s="450"/>
      <c r="FBI103" s="450"/>
      <c r="FBJ103" s="450"/>
      <c r="FBK103" s="450"/>
      <c r="FBL103" s="450"/>
      <c r="FBM103" s="450"/>
      <c r="FBN103" s="450"/>
      <c r="FBO103" s="450"/>
      <c r="FBP103" s="450"/>
      <c r="FBQ103" s="450"/>
      <c r="FBR103" s="450"/>
      <c r="FBS103" s="450"/>
      <c r="FBT103" s="450"/>
      <c r="FBU103" s="450"/>
      <c r="FBV103" s="450"/>
      <c r="FBW103" s="450"/>
      <c r="FBX103" s="450"/>
      <c r="FBY103" s="450"/>
      <c r="FBZ103" s="450"/>
      <c r="FCA103" s="450"/>
      <c r="FCB103" s="450"/>
      <c r="FCC103" s="450"/>
      <c r="FCD103" s="450"/>
      <c r="FCE103" s="450"/>
      <c r="FCF103" s="450"/>
      <c r="FCG103" s="450"/>
      <c r="FCH103" s="450"/>
      <c r="FCI103" s="450"/>
      <c r="FCJ103" s="450"/>
      <c r="FCK103" s="450"/>
      <c r="FCL103" s="450"/>
      <c r="FCM103" s="450"/>
      <c r="FCN103" s="450"/>
      <c r="FCO103" s="450"/>
      <c r="FCP103" s="450"/>
      <c r="FCQ103" s="450"/>
      <c r="FCR103" s="450"/>
      <c r="FCS103" s="450"/>
      <c r="FCT103" s="450"/>
      <c r="FCU103" s="450"/>
      <c r="FCV103" s="450"/>
      <c r="FCW103" s="450"/>
      <c r="FCX103" s="450"/>
      <c r="FCY103" s="450"/>
      <c r="FCZ103" s="450"/>
      <c r="FDA103" s="450"/>
      <c r="FDB103" s="450"/>
      <c r="FDC103" s="450"/>
      <c r="FDD103" s="450"/>
      <c r="FDE103" s="450"/>
      <c r="FDF103" s="450"/>
      <c r="FDG103" s="450"/>
      <c r="FDH103" s="450"/>
      <c r="FDI103" s="450"/>
      <c r="FDJ103" s="450"/>
      <c r="FDK103" s="450"/>
      <c r="FDL103" s="450"/>
      <c r="FDM103" s="450"/>
      <c r="FDN103" s="450"/>
      <c r="FDO103" s="450"/>
      <c r="FDP103" s="450"/>
      <c r="FDQ103" s="450"/>
      <c r="FDR103" s="450"/>
      <c r="FDS103" s="450"/>
      <c r="FDT103" s="450"/>
      <c r="FDU103" s="450"/>
      <c r="FDV103" s="450"/>
      <c r="FDW103" s="450"/>
      <c r="FDX103" s="450"/>
      <c r="FDY103" s="450"/>
      <c r="FDZ103" s="450"/>
      <c r="FEA103" s="450"/>
      <c r="FEB103" s="450"/>
      <c r="FEC103" s="450"/>
      <c r="FED103" s="450"/>
      <c r="FEE103" s="450"/>
      <c r="FEF103" s="450"/>
      <c r="FEG103" s="450"/>
      <c r="FEH103" s="450"/>
      <c r="FEI103" s="450"/>
      <c r="FEJ103" s="450"/>
      <c r="FEK103" s="450"/>
      <c r="FEL103" s="450"/>
      <c r="FEM103" s="450"/>
      <c r="FEN103" s="450"/>
      <c r="FEO103" s="450"/>
      <c r="FEP103" s="450"/>
      <c r="FEQ103" s="450"/>
      <c r="FER103" s="450"/>
      <c r="FES103" s="450"/>
      <c r="FET103" s="450"/>
      <c r="FEU103" s="450"/>
      <c r="FEV103" s="450"/>
      <c r="FEW103" s="450"/>
      <c r="FEX103" s="450"/>
      <c r="FEY103" s="450"/>
      <c r="FEZ103" s="450"/>
      <c r="FFA103" s="450"/>
      <c r="FFB103" s="450"/>
      <c r="FFC103" s="450"/>
      <c r="FFD103" s="450"/>
      <c r="FFE103" s="450"/>
      <c r="FFF103" s="450"/>
      <c r="FFG103" s="450"/>
      <c r="FFH103" s="450"/>
      <c r="FFI103" s="450"/>
      <c r="FFJ103" s="450"/>
      <c r="FFK103" s="450"/>
      <c r="FFL103" s="450"/>
      <c r="FFM103" s="450"/>
      <c r="FFN103" s="450"/>
      <c r="FFO103" s="450"/>
      <c r="FFP103" s="450"/>
      <c r="FFQ103" s="450"/>
      <c r="FFR103" s="450"/>
      <c r="FFS103" s="450"/>
      <c r="FFT103" s="450"/>
      <c r="FFU103" s="450"/>
      <c r="FFV103" s="450"/>
      <c r="FFW103" s="450"/>
      <c r="FFX103" s="450"/>
      <c r="FFY103" s="450"/>
      <c r="FFZ103" s="450"/>
      <c r="FGA103" s="450"/>
      <c r="FGB103" s="450"/>
      <c r="FGC103" s="450"/>
      <c r="FGD103" s="450"/>
      <c r="FGE103" s="450"/>
      <c r="FGF103" s="450"/>
      <c r="FGG103" s="450"/>
      <c r="FGH103" s="450"/>
      <c r="FGI103" s="450"/>
      <c r="FGJ103" s="450"/>
      <c r="FGK103" s="450"/>
      <c r="FGL103" s="450"/>
      <c r="FGM103" s="450"/>
      <c r="FGN103" s="450"/>
      <c r="FGO103" s="450"/>
      <c r="FGP103" s="450"/>
      <c r="FGQ103" s="450"/>
      <c r="FGR103" s="450"/>
      <c r="FGS103" s="450"/>
      <c r="FGT103" s="450"/>
      <c r="FGU103" s="450"/>
      <c r="FGV103" s="450"/>
      <c r="FGW103" s="450"/>
      <c r="FGX103" s="450"/>
      <c r="FGY103" s="450"/>
      <c r="FGZ103" s="450"/>
      <c r="FHA103" s="450"/>
      <c r="FHB103" s="450"/>
      <c r="FHC103" s="450"/>
      <c r="FHD103" s="450"/>
      <c r="FHE103" s="450"/>
      <c r="FHF103" s="450"/>
      <c r="FHG103" s="450"/>
      <c r="FHH103" s="450"/>
      <c r="FHI103" s="450"/>
      <c r="FHJ103" s="450"/>
      <c r="FHK103" s="450"/>
      <c r="FHL103" s="450"/>
      <c r="FHM103" s="450"/>
      <c r="FHN103" s="450"/>
      <c r="FHO103" s="450"/>
      <c r="FHP103" s="450"/>
      <c r="FHQ103" s="450"/>
      <c r="FHR103" s="450"/>
      <c r="FHS103" s="450"/>
      <c r="FHT103" s="450"/>
      <c r="FHU103" s="450"/>
      <c r="FHV103" s="450"/>
      <c r="FHW103" s="450"/>
      <c r="FHX103" s="450"/>
      <c r="FHY103" s="450"/>
      <c r="FHZ103" s="450"/>
      <c r="FIA103" s="450"/>
      <c r="FIB103" s="450"/>
      <c r="FIC103" s="450"/>
      <c r="FID103" s="450"/>
      <c r="FIE103" s="450"/>
      <c r="FIF103" s="450"/>
      <c r="FIG103" s="450"/>
      <c r="FIH103" s="450"/>
      <c r="FII103" s="450"/>
      <c r="FIJ103" s="450"/>
      <c r="FIK103" s="450"/>
      <c r="FIL103" s="450"/>
      <c r="FIM103" s="450"/>
      <c r="FIN103" s="450"/>
      <c r="FIO103" s="450"/>
      <c r="FIP103" s="450"/>
      <c r="FIQ103" s="450"/>
      <c r="FIR103" s="450"/>
      <c r="FIS103" s="450"/>
      <c r="FIT103" s="450"/>
      <c r="FIU103" s="450"/>
      <c r="FIV103" s="450"/>
      <c r="FIW103" s="450"/>
      <c r="FIX103" s="450"/>
      <c r="FIY103" s="450"/>
      <c r="FIZ103" s="450"/>
      <c r="FJA103" s="450"/>
      <c r="FJB103" s="450"/>
      <c r="FJC103" s="450"/>
      <c r="FJD103" s="450"/>
      <c r="FJE103" s="450"/>
      <c r="FJF103" s="450"/>
      <c r="FJG103" s="450"/>
      <c r="FJH103" s="450"/>
      <c r="FJI103" s="450"/>
      <c r="FJJ103" s="450"/>
      <c r="FJK103" s="450"/>
      <c r="FJL103" s="450"/>
      <c r="FJM103" s="450"/>
      <c r="FJN103" s="450"/>
      <c r="FJO103" s="450"/>
      <c r="FJP103" s="450"/>
      <c r="FJQ103" s="450"/>
      <c r="FJR103" s="450"/>
      <c r="FJS103" s="450"/>
      <c r="FJT103" s="450"/>
      <c r="FJU103" s="450"/>
      <c r="FJV103" s="450"/>
      <c r="FJW103" s="450"/>
      <c r="FJX103" s="450"/>
      <c r="FJY103" s="450"/>
      <c r="FJZ103" s="450"/>
      <c r="FKA103" s="450"/>
      <c r="FKB103" s="450"/>
      <c r="FKC103" s="450"/>
      <c r="FKD103" s="450"/>
      <c r="FKE103" s="450"/>
      <c r="FKF103" s="450"/>
      <c r="FKG103" s="450"/>
      <c r="FKH103" s="450"/>
      <c r="FKI103" s="450"/>
      <c r="FKJ103" s="450"/>
      <c r="FKK103" s="450"/>
      <c r="FKL103" s="450"/>
      <c r="FKM103" s="450"/>
      <c r="FKN103" s="450"/>
      <c r="FKO103" s="450"/>
      <c r="FKP103" s="450"/>
      <c r="FKQ103" s="450"/>
      <c r="FKR103" s="450"/>
      <c r="FKS103" s="450"/>
      <c r="FKT103" s="450"/>
      <c r="FKU103" s="450"/>
      <c r="FKV103" s="450"/>
      <c r="FKW103" s="450"/>
      <c r="FKX103" s="450"/>
      <c r="FKY103" s="450"/>
      <c r="FKZ103" s="450"/>
      <c r="FLA103" s="450"/>
      <c r="FLB103" s="450"/>
      <c r="FLC103" s="450"/>
      <c r="FLD103" s="450"/>
      <c r="FLE103" s="450"/>
      <c r="FLF103" s="450"/>
      <c r="FLG103" s="450"/>
      <c r="FLH103" s="450"/>
      <c r="FLI103" s="450"/>
      <c r="FLJ103" s="450"/>
      <c r="FLK103" s="450"/>
      <c r="FLL103" s="450"/>
      <c r="FLM103" s="450"/>
      <c r="FLN103" s="450"/>
      <c r="FLO103" s="450"/>
      <c r="FLP103" s="450"/>
      <c r="FLQ103" s="450"/>
      <c r="FLR103" s="450"/>
      <c r="FLS103" s="450"/>
      <c r="FLT103" s="450"/>
      <c r="FLU103" s="450"/>
      <c r="FLV103" s="450"/>
      <c r="FLW103" s="450"/>
      <c r="FLX103" s="450"/>
      <c r="FLY103" s="450"/>
      <c r="FLZ103" s="450"/>
      <c r="FMA103" s="450"/>
      <c r="FMB103" s="450"/>
      <c r="FMC103" s="450"/>
      <c r="FMD103" s="450"/>
      <c r="FME103" s="450"/>
      <c r="FMF103" s="450"/>
      <c r="FMG103" s="450"/>
      <c r="FMH103" s="450"/>
      <c r="FMI103" s="450"/>
      <c r="FMJ103" s="450"/>
      <c r="FMK103" s="450"/>
      <c r="FML103" s="450"/>
      <c r="FMM103" s="450"/>
      <c r="FMN103" s="450"/>
      <c r="FMO103" s="450"/>
      <c r="FMP103" s="450"/>
      <c r="FMQ103" s="450"/>
      <c r="FMR103" s="450"/>
      <c r="FMS103" s="450"/>
      <c r="FMT103" s="450"/>
      <c r="FMU103" s="450"/>
      <c r="FMV103" s="450"/>
      <c r="FMW103" s="450"/>
      <c r="FMX103" s="450"/>
      <c r="FMY103" s="450"/>
      <c r="FMZ103" s="450"/>
      <c r="FNA103" s="450"/>
      <c r="FNB103" s="450"/>
      <c r="FNC103" s="450"/>
      <c r="FND103" s="450"/>
      <c r="FNE103" s="450"/>
      <c r="FNF103" s="450"/>
      <c r="FNG103" s="450"/>
      <c r="FNH103" s="450"/>
      <c r="FNI103" s="450"/>
      <c r="FNJ103" s="450"/>
      <c r="FNK103" s="450"/>
      <c r="FNL103" s="450"/>
      <c r="FNM103" s="450"/>
      <c r="FNN103" s="450"/>
      <c r="FNO103" s="450"/>
      <c r="FNP103" s="450"/>
      <c r="FNQ103" s="450"/>
      <c r="FNR103" s="450"/>
      <c r="FNS103" s="450"/>
      <c r="FNT103" s="450"/>
      <c r="FNU103" s="450"/>
      <c r="FNV103" s="450"/>
      <c r="FNW103" s="450"/>
      <c r="FNX103" s="450"/>
      <c r="FNY103" s="450"/>
      <c r="FNZ103" s="450"/>
      <c r="FOA103" s="450"/>
      <c r="FOB103" s="450"/>
      <c r="FOC103" s="450"/>
      <c r="FOD103" s="450"/>
      <c r="FOE103" s="450"/>
      <c r="FOF103" s="450"/>
      <c r="FOG103" s="450"/>
      <c r="FOH103" s="450"/>
      <c r="FOI103" s="450"/>
      <c r="FOJ103" s="450"/>
      <c r="FOK103" s="450"/>
      <c r="FOL103" s="450"/>
      <c r="FOM103" s="450"/>
      <c r="FON103" s="450"/>
      <c r="FOO103" s="450"/>
      <c r="FOP103" s="450"/>
      <c r="FOQ103" s="450"/>
      <c r="FOR103" s="450"/>
      <c r="FOS103" s="450"/>
      <c r="FOT103" s="450"/>
      <c r="FOU103" s="450"/>
      <c r="FOV103" s="450"/>
      <c r="FOW103" s="450"/>
      <c r="FOX103" s="450"/>
      <c r="FOY103" s="450"/>
      <c r="FOZ103" s="450"/>
      <c r="FPA103" s="450"/>
      <c r="FPB103" s="450"/>
      <c r="FPC103" s="450"/>
      <c r="FPD103" s="450"/>
      <c r="FPE103" s="450"/>
      <c r="FPF103" s="450"/>
      <c r="FPG103" s="450"/>
      <c r="FPH103" s="450"/>
      <c r="FPI103" s="450"/>
      <c r="FPJ103" s="450"/>
      <c r="FPK103" s="450"/>
      <c r="FPL103" s="450"/>
      <c r="FPM103" s="450"/>
      <c r="FPN103" s="450"/>
      <c r="FPO103" s="450"/>
      <c r="FPP103" s="450"/>
      <c r="FPQ103" s="450"/>
      <c r="FPR103" s="450"/>
      <c r="FPS103" s="450"/>
      <c r="FPT103" s="450"/>
      <c r="FPU103" s="450"/>
      <c r="FPV103" s="450"/>
      <c r="FPW103" s="450"/>
      <c r="FPX103" s="450"/>
      <c r="FPY103" s="450"/>
      <c r="FPZ103" s="450"/>
      <c r="FQA103" s="450"/>
      <c r="FQB103" s="450"/>
      <c r="FQC103" s="450"/>
      <c r="FQD103" s="450"/>
      <c r="FQE103" s="450"/>
      <c r="FQF103" s="450"/>
      <c r="FQG103" s="450"/>
      <c r="FQH103" s="450"/>
      <c r="FQI103" s="450"/>
      <c r="FQJ103" s="450"/>
      <c r="FQK103" s="450"/>
      <c r="FQL103" s="450"/>
      <c r="FQM103" s="450"/>
      <c r="FQN103" s="450"/>
      <c r="FQO103" s="450"/>
      <c r="FQP103" s="450"/>
      <c r="FQQ103" s="450"/>
      <c r="FQR103" s="450"/>
      <c r="FQS103" s="450"/>
      <c r="FQT103" s="450"/>
      <c r="FQU103" s="450"/>
      <c r="FQV103" s="450"/>
      <c r="FQW103" s="450"/>
      <c r="FQX103" s="450"/>
      <c r="FQY103" s="450"/>
      <c r="FQZ103" s="450"/>
      <c r="FRA103" s="450"/>
      <c r="FRB103" s="450"/>
      <c r="FRC103" s="450"/>
      <c r="FRD103" s="450"/>
      <c r="FRE103" s="450"/>
      <c r="FRF103" s="450"/>
      <c r="FRG103" s="450"/>
      <c r="FRH103" s="450"/>
      <c r="FRI103" s="450"/>
      <c r="FRJ103" s="450"/>
      <c r="FRK103" s="450"/>
      <c r="FRL103" s="450"/>
      <c r="FRM103" s="450"/>
      <c r="FRN103" s="450"/>
      <c r="FRO103" s="450"/>
      <c r="FRP103" s="450"/>
      <c r="FRQ103" s="450"/>
      <c r="FRR103" s="450"/>
      <c r="FRS103" s="450"/>
      <c r="FRT103" s="450"/>
      <c r="FRU103" s="450"/>
      <c r="FRV103" s="450"/>
      <c r="FRW103" s="450"/>
      <c r="FRX103" s="450"/>
      <c r="FRY103" s="450"/>
      <c r="FRZ103" s="450"/>
      <c r="FSA103" s="450"/>
      <c r="FSB103" s="450"/>
      <c r="FSC103" s="450"/>
      <c r="FSD103" s="450"/>
      <c r="FSE103" s="450"/>
      <c r="FSF103" s="450"/>
      <c r="FSG103" s="450"/>
      <c r="FSH103" s="450"/>
      <c r="FSI103" s="450"/>
      <c r="FSJ103" s="450"/>
      <c r="FSK103" s="450"/>
      <c r="FSL103" s="450"/>
      <c r="FSM103" s="450"/>
      <c r="FSN103" s="450"/>
      <c r="FSO103" s="450"/>
      <c r="FSP103" s="450"/>
      <c r="FSQ103" s="450"/>
      <c r="FSR103" s="450"/>
      <c r="FSS103" s="450"/>
      <c r="FST103" s="450"/>
      <c r="FSU103" s="450"/>
      <c r="FSV103" s="450"/>
      <c r="FSW103" s="450"/>
      <c r="FSX103" s="450"/>
      <c r="FSY103" s="450"/>
      <c r="FSZ103" s="450"/>
      <c r="FTA103" s="450"/>
      <c r="FTB103" s="450"/>
      <c r="FTC103" s="450"/>
      <c r="FTD103" s="450"/>
      <c r="FTE103" s="450"/>
      <c r="FTF103" s="450"/>
      <c r="FTG103" s="450"/>
      <c r="FTH103" s="450"/>
      <c r="FTI103" s="450"/>
      <c r="FTJ103" s="450"/>
      <c r="FTK103" s="450"/>
      <c r="FTL103" s="450"/>
      <c r="FTM103" s="450"/>
      <c r="FTN103" s="450"/>
      <c r="FTO103" s="450"/>
      <c r="FTP103" s="450"/>
      <c r="FTQ103" s="450"/>
      <c r="FTR103" s="450"/>
      <c r="FTS103" s="450"/>
      <c r="FTT103" s="450"/>
      <c r="FTU103" s="450"/>
      <c r="FTV103" s="450"/>
      <c r="FTW103" s="450"/>
      <c r="FTX103" s="450"/>
      <c r="FTY103" s="450"/>
      <c r="FTZ103" s="450"/>
      <c r="FUA103" s="450"/>
      <c r="FUB103" s="450"/>
      <c r="FUC103" s="450"/>
      <c r="FUD103" s="450"/>
      <c r="FUE103" s="450"/>
      <c r="FUF103" s="450"/>
      <c r="FUG103" s="450"/>
      <c r="FUH103" s="450"/>
      <c r="FUI103" s="450"/>
      <c r="FUJ103" s="450"/>
      <c r="FUK103" s="450"/>
      <c r="FUL103" s="450"/>
      <c r="FUM103" s="450"/>
      <c r="FUN103" s="450"/>
      <c r="FUO103" s="450"/>
      <c r="FUP103" s="450"/>
      <c r="FUQ103" s="450"/>
      <c r="FUR103" s="450"/>
      <c r="FUS103" s="450"/>
      <c r="FUT103" s="450"/>
      <c r="FUU103" s="450"/>
      <c r="FUV103" s="450"/>
      <c r="FUW103" s="450"/>
      <c r="FUX103" s="450"/>
      <c r="FUY103" s="450"/>
      <c r="FUZ103" s="450"/>
      <c r="FVA103" s="450"/>
      <c r="FVB103" s="450"/>
      <c r="FVC103" s="450"/>
      <c r="FVD103" s="450"/>
      <c r="FVE103" s="450"/>
      <c r="FVF103" s="450"/>
      <c r="FVG103" s="450"/>
      <c r="FVH103" s="450"/>
      <c r="FVI103" s="450"/>
      <c r="FVJ103" s="450"/>
      <c r="FVK103" s="450"/>
      <c r="FVL103" s="450"/>
      <c r="FVM103" s="450"/>
      <c r="FVN103" s="450"/>
      <c r="FVO103" s="450"/>
      <c r="FVP103" s="450"/>
      <c r="FVQ103" s="450"/>
      <c r="FVR103" s="450"/>
      <c r="FVS103" s="450"/>
      <c r="FVT103" s="450"/>
      <c r="FVU103" s="450"/>
      <c r="FVV103" s="450"/>
      <c r="FVW103" s="450"/>
      <c r="FVX103" s="450"/>
      <c r="FVY103" s="450"/>
      <c r="FVZ103" s="450"/>
      <c r="FWA103" s="450"/>
      <c r="FWB103" s="450"/>
      <c r="FWC103" s="450"/>
      <c r="FWD103" s="450"/>
      <c r="FWE103" s="450"/>
      <c r="FWF103" s="450"/>
      <c r="FWG103" s="450"/>
      <c r="FWH103" s="450"/>
      <c r="FWI103" s="450"/>
      <c r="FWJ103" s="450"/>
      <c r="FWK103" s="450"/>
      <c r="FWL103" s="450"/>
      <c r="FWM103" s="450"/>
      <c r="FWN103" s="450"/>
      <c r="FWO103" s="450"/>
      <c r="FWP103" s="450"/>
      <c r="FWQ103" s="450"/>
      <c r="FWR103" s="450"/>
      <c r="FWS103" s="450"/>
      <c r="FWT103" s="450"/>
      <c r="FWU103" s="450"/>
      <c r="FWV103" s="450"/>
      <c r="FWW103" s="450"/>
      <c r="FWX103" s="450"/>
      <c r="FWY103" s="450"/>
      <c r="FWZ103" s="450"/>
      <c r="FXA103" s="450"/>
      <c r="FXB103" s="450"/>
      <c r="FXC103" s="450"/>
      <c r="FXD103" s="450"/>
      <c r="FXE103" s="450"/>
      <c r="FXF103" s="450"/>
      <c r="FXG103" s="450"/>
      <c r="FXH103" s="450"/>
      <c r="FXI103" s="450"/>
      <c r="FXJ103" s="450"/>
      <c r="FXK103" s="450"/>
      <c r="FXL103" s="450"/>
      <c r="FXM103" s="450"/>
      <c r="FXN103" s="450"/>
      <c r="FXO103" s="450"/>
      <c r="FXP103" s="450"/>
      <c r="FXQ103" s="450"/>
      <c r="FXR103" s="450"/>
      <c r="FXS103" s="450"/>
      <c r="FXT103" s="450"/>
      <c r="FXU103" s="450"/>
      <c r="FXV103" s="450"/>
      <c r="FXW103" s="450"/>
      <c r="FXX103" s="450"/>
      <c r="FXY103" s="450"/>
      <c r="FXZ103" s="450"/>
      <c r="FYA103" s="450"/>
      <c r="FYB103" s="450"/>
      <c r="FYC103" s="450"/>
      <c r="FYD103" s="450"/>
      <c r="FYE103" s="450"/>
      <c r="FYF103" s="450"/>
      <c r="FYG103" s="450"/>
      <c r="FYH103" s="450"/>
      <c r="FYI103" s="450"/>
      <c r="FYJ103" s="450"/>
      <c r="FYK103" s="450"/>
      <c r="FYL103" s="450"/>
      <c r="FYM103" s="450"/>
      <c r="FYN103" s="450"/>
      <c r="FYO103" s="450"/>
      <c r="FYP103" s="450"/>
      <c r="FYQ103" s="450"/>
      <c r="FYR103" s="450"/>
      <c r="FYS103" s="450"/>
      <c r="FYT103" s="450"/>
      <c r="FYU103" s="450"/>
      <c r="FYV103" s="450"/>
      <c r="FYW103" s="450"/>
      <c r="FYX103" s="450"/>
      <c r="FYY103" s="450"/>
      <c r="FYZ103" s="450"/>
      <c r="FZA103" s="450"/>
      <c r="FZB103" s="450"/>
      <c r="FZC103" s="450"/>
      <c r="FZD103" s="450"/>
      <c r="FZE103" s="450"/>
      <c r="FZF103" s="450"/>
      <c r="FZG103" s="450"/>
      <c r="FZH103" s="450"/>
      <c r="FZI103" s="450"/>
      <c r="FZJ103" s="450"/>
      <c r="FZK103" s="450"/>
      <c r="FZL103" s="450"/>
      <c r="FZM103" s="450"/>
      <c r="FZN103" s="450"/>
      <c r="FZO103" s="450"/>
      <c r="FZP103" s="450"/>
      <c r="FZQ103" s="450"/>
      <c r="FZR103" s="450"/>
      <c r="FZS103" s="450"/>
      <c r="FZT103" s="450"/>
      <c r="FZU103" s="450"/>
      <c r="FZV103" s="450"/>
      <c r="FZW103" s="450"/>
      <c r="FZX103" s="450"/>
      <c r="FZY103" s="450"/>
      <c r="FZZ103" s="450"/>
      <c r="GAA103" s="450"/>
      <c r="GAB103" s="450"/>
      <c r="GAC103" s="450"/>
      <c r="GAD103" s="450"/>
      <c r="GAE103" s="450"/>
      <c r="GAF103" s="450"/>
      <c r="GAG103" s="450"/>
      <c r="GAH103" s="450"/>
      <c r="GAI103" s="450"/>
      <c r="GAJ103" s="450"/>
      <c r="GAK103" s="450"/>
      <c r="GAL103" s="450"/>
      <c r="GAM103" s="450"/>
      <c r="GAN103" s="450"/>
      <c r="GAO103" s="450"/>
      <c r="GAP103" s="450"/>
      <c r="GAQ103" s="450"/>
      <c r="GAR103" s="450"/>
      <c r="GAS103" s="450"/>
      <c r="GAT103" s="450"/>
      <c r="GAU103" s="450"/>
      <c r="GAV103" s="450"/>
      <c r="GAW103" s="450"/>
      <c r="GAX103" s="450"/>
      <c r="GAY103" s="450"/>
      <c r="GAZ103" s="450"/>
      <c r="GBA103" s="450"/>
      <c r="GBB103" s="450"/>
      <c r="GBC103" s="450"/>
      <c r="GBD103" s="450"/>
      <c r="GBE103" s="450"/>
      <c r="GBF103" s="450"/>
      <c r="GBG103" s="450"/>
      <c r="GBH103" s="450"/>
      <c r="GBI103" s="450"/>
      <c r="GBJ103" s="450"/>
      <c r="GBK103" s="450"/>
      <c r="GBL103" s="450"/>
      <c r="GBM103" s="450"/>
      <c r="GBN103" s="450"/>
      <c r="GBO103" s="450"/>
      <c r="GBP103" s="450"/>
      <c r="GBQ103" s="450"/>
      <c r="GBR103" s="450"/>
      <c r="GBS103" s="450"/>
      <c r="GBT103" s="450"/>
      <c r="GBU103" s="450"/>
      <c r="GBV103" s="450"/>
      <c r="GBW103" s="450"/>
      <c r="GBX103" s="450"/>
      <c r="GBY103" s="450"/>
      <c r="GBZ103" s="450"/>
      <c r="GCA103" s="450"/>
      <c r="GCB103" s="450"/>
      <c r="GCC103" s="450"/>
      <c r="GCD103" s="450"/>
      <c r="GCE103" s="450"/>
      <c r="GCF103" s="450"/>
      <c r="GCG103" s="450"/>
      <c r="GCH103" s="450"/>
      <c r="GCI103" s="450"/>
      <c r="GCJ103" s="450"/>
      <c r="GCK103" s="450"/>
      <c r="GCL103" s="450"/>
      <c r="GCM103" s="450"/>
      <c r="GCN103" s="450"/>
      <c r="GCO103" s="450"/>
      <c r="GCP103" s="450"/>
      <c r="GCQ103" s="450"/>
      <c r="GCR103" s="450"/>
      <c r="GCS103" s="450"/>
      <c r="GCT103" s="450"/>
      <c r="GCU103" s="450"/>
      <c r="GCV103" s="450"/>
      <c r="GCW103" s="450"/>
      <c r="GCX103" s="450"/>
      <c r="GCY103" s="450"/>
      <c r="GCZ103" s="450"/>
      <c r="GDA103" s="450"/>
      <c r="GDB103" s="450"/>
      <c r="GDC103" s="450"/>
      <c r="GDD103" s="450"/>
      <c r="GDE103" s="450"/>
      <c r="GDF103" s="450"/>
      <c r="GDG103" s="450"/>
      <c r="GDH103" s="450"/>
      <c r="GDI103" s="450"/>
      <c r="GDJ103" s="450"/>
      <c r="GDK103" s="450"/>
      <c r="GDL103" s="450"/>
      <c r="GDM103" s="450"/>
      <c r="GDN103" s="450"/>
      <c r="GDO103" s="450"/>
      <c r="GDP103" s="450"/>
      <c r="GDQ103" s="450"/>
      <c r="GDR103" s="450"/>
      <c r="GDS103" s="450"/>
      <c r="GDT103" s="450"/>
      <c r="GDU103" s="450"/>
      <c r="GDV103" s="450"/>
      <c r="GDW103" s="450"/>
      <c r="GDX103" s="450"/>
      <c r="GDY103" s="450"/>
      <c r="GDZ103" s="450"/>
      <c r="GEA103" s="450"/>
      <c r="GEB103" s="450"/>
      <c r="GEC103" s="450"/>
      <c r="GED103" s="450"/>
      <c r="GEE103" s="450"/>
      <c r="GEF103" s="450"/>
      <c r="GEG103" s="450"/>
      <c r="GEH103" s="450"/>
      <c r="GEI103" s="450"/>
      <c r="GEJ103" s="450"/>
      <c r="GEK103" s="450"/>
      <c r="GEL103" s="450"/>
      <c r="GEM103" s="450"/>
      <c r="GEN103" s="450"/>
      <c r="GEO103" s="450"/>
      <c r="GEP103" s="450"/>
      <c r="GEQ103" s="450"/>
      <c r="GER103" s="450"/>
      <c r="GES103" s="450"/>
      <c r="GET103" s="450"/>
      <c r="GEU103" s="450"/>
      <c r="GEV103" s="450"/>
      <c r="GEW103" s="450"/>
      <c r="GEX103" s="450"/>
      <c r="GEY103" s="450"/>
      <c r="GEZ103" s="450"/>
      <c r="GFA103" s="450"/>
      <c r="GFB103" s="450"/>
      <c r="GFC103" s="450"/>
      <c r="GFD103" s="450"/>
      <c r="GFE103" s="450"/>
      <c r="GFF103" s="450"/>
      <c r="GFG103" s="450"/>
      <c r="GFH103" s="450"/>
      <c r="GFI103" s="450"/>
      <c r="GFJ103" s="450"/>
      <c r="GFK103" s="450"/>
      <c r="GFL103" s="450"/>
      <c r="GFM103" s="450"/>
      <c r="GFN103" s="450"/>
      <c r="GFO103" s="450"/>
      <c r="GFP103" s="450"/>
      <c r="GFQ103" s="450"/>
      <c r="GFR103" s="450"/>
      <c r="GFS103" s="450"/>
      <c r="GFT103" s="450"/>
      <c r="GFU103" s="450"/>
      <c r="GFV103" s="450"/>
      <c r="GFW103" s="450"/>
      <c r="GFX103" s="450"/>
      <c r="GFY103" s="450"/>
      <c r="GFZ103" s="450"/>
      <c r="GGA103" s="450"/>
      <c r="GGB103" s="450"/>
      <c r="GGC103" s="450"/>
      <c r="GGD103" s="450"/>
      <c r="GGE103" s="450"/>
      <c r="GGF103" s="450"/>
      <c r="GGG103" s="450"/>
      <c r="GGH103" s="450"/>
      <c r="GGI103" s="450"/>
      <c r="GGJ103" s="450"/>
      <c r="GGK103" s="450"/>
      <c r="GGL103" s="450"/>
      <c r="GGM103" s="450"/>
      <c r="GGN103" s="450"/>
      <c r="GGO103" s="450"/>
      <c r="GGP103" s="450"/>
      <c r="GGQ103" s="450"/>
      <c r="GGR103" s="450"/>
      <c r="GGS103" s="450"/>
      <c r="GGT103" s="450"/>
      <c r="GGU103" s="450"/>
      <c r="GGV103" s="450"/>
      <c r="GGW103" s="450"/>
      <c r="GGX103" s="450"/>
      <c r="GGY103" s="450"/>
      <c r="GGZ103" s="450"/>
      <c r="GHA103" s="450"/>
      <c r="GHB103" s="450"/>
      <c r="GHC103" s="450"/>
      <c r="GHD103" s="450"/>
      <c r="GHE103" s="450"/>
      <c r="GHF103" s="450"/>
      <c r="GHG103" s="450"/>
      <c r="GHH103" s="450"/>
      <c r="GHI103" s="450"/>
      <c r="GHJ103" s="450"/>
      <c r="GHK103" s="450"/>
      <c r="GHL103" s="450"/>
      <c r="GHM103" s="450"/>
      <c r="GHN103" s="450"/>
      <c r="GHO103" s="450"/>
      <c r="GHP103" s="450"/>
      <c r="GHQ103" s="450"/>
      <c r="GHR103" s="450"/>
      <c r="GHS103" s="450"/>
      <c r="GHT103" s="450"/>
      <c r="GHU103" s="450"/>
      <c r="GHV103" s="450"/>
      <c r="GHW103" s="450"/>
      <c r="GHX103" s="450"/>
      <c r="GHY103" s="450"/>
      <c r="GHZ103" s="450"/>
      <c r="GIA103" s="450"/>
      <c r="GIB103" s="450"/>
      <c r="GIC103" s="450"/>
      <c r="GID103" s="450"/>
      <c r="GIE103" s="450"/>
      <c r="GIF103" s="450"/>
      <c r="GIG103" s="450"/>
      <c r="GIH103" s="450"/>
      <c r="GII103" s="450"/>
      <c r="GIJ103" s="450"/>
      <c r="GIK103" s="450"/>
      <c r="GIL103" s="450"/>
      <c r="GIM103" s="450"/>
      <c r="GIN103" s="450"/>
      <c r="GIO103" s="450"/>
      <c r="GIP103" s="450"/>
      <c r="GIQ103" s="450"/>
      <c r="GIR103" s="450"/>
      <c r="GIS103" s="450"/>
      <c r="GIT103" s="450"/>
      <c r="GIU103" s="450"/>
      <c r="GIV103" s="450"/>
      <c r="GIW103" s="450"/>
      <c r="GIX103" s="450"/>
      <c r="GIY103" s="450"/>
      <c r="GIZ103" s="450"/>
      <c r="GJA103" s="450"/>
      <c r="GJB103" s="450"/>
      <c r="GJC103" s="450"/>
      <c r="GJD103" s="450"/>
      <c r="GJE103" s="450"/>
      <c r="GJF103" s="450"/>
      <c r="GJG103" s="450"/>
      <c r="GJH103" s="450"/>
      <c r="GJI103" s="450"/>
      <c r="GJJ103" s="450"/>
      <c r="GJK103" s="450"/>
      <c r="GJL103" s="450"/>
      <c r="GJM103" s="450"/>
      <c r="GJN103" s="450"/>
      <c r="GJO103" s="450"/>
      <c r="GJP103" s="450"/>
      <c r="GJQ103" s="450"/>
      <c r="GJR103" s="450"/>
      <c r="GJS103" s="450"/>
      <c r="GJT103" s="450"/>
      <c r="GJU103" s="450"/>
      <c r="GJV103" s="450"/>
      <c r="GJW103" s="450"/>
      <c r="GJX103" s="450"/>
      <c r="GJY103" s="450"/>
      <c r="GJZ103" s="450"/>
      <c r="GKA103" s="450"/>
      <c r="GKB103" s="450"/>
      <c r="GKC103" s="450"/>
      <c r="GKD103" s="450"/>
      <c r="GKE103" s="450"/>
      <c r="GKF103" s="450"/>
      <c r="GKG103" s="450"/>
      <c r="GKH103" s="450"/>
      <c r="GKI103" s="450"/>
      <c r="GKJ103" s="450"/>
      <c r="GKK103" s="450"/>
      <c r="GKL103" s="450"/>
      <c r="GKM103" s="450"/>
      <c r="GKN103" s="450"/>
      <c r="GKO103" s="450"/>
      <c r="GKP103" s="450"/>
      <c r="GKQ103" s="450"/>
      <c r="GKR103" s="450"/>
      <c r="GKS103" s="450"/>
      <c r="GKT103" s="450"/>
      <c r="GKU103" s="450"/>
      <c r="GKV103" s="450"/>
      <c r="GKW103" s="450"/>
      <c r="GKX103" s="450"/>
      <c r="GKY103" s="450"/>
      <c r="GKZ103" s="450"/>
      <c r="GLA103" s="450"/>
      <c r="GLB103" s="450"/>
      <c r="GLC103" s="450"/>
      <c r="GLD103" s="450"/>
      <c r="GLE103" s="450"/>
      <c r="GLF103" s="450"/>
      <c r="GLG103" s="450"/>
      <c r="GLH103" s="450"/>
      <c r="GLI103" s="450"/>
      <c r="GLJ103" s="450"/>
      <c r="GLK103" s="450"/>
      <c r="GLL103" s="450"/>
      <c r="GLM103" s="450"/>
      <c r="GLN103" s="450"/>
      <c r="GLO103" s="450"/>
      <c r="GLP103" s="450"/>
      <c r="GLQ103" s="450"/>
      <c r="GLR103" s="450"/>
      <c r="GLS103" s="450"/>
      <c r="GLT103" s="450"/>
      <c r="GLU103" s="450"/>
      <c r="GLV103" s="450"/>
      <c r="GLW103" s="450"/>
      <c r="GLX103" s="450"/>
      <c r="GLY103" s="450"/>
      <c r="GLZ103" s="450"/>
      <c r="GMA103" s="450"/>
      <c r="GMB103" s="450"/>
      <c r="GMC103" s="450"/>
      <c r="GMD103" s="450"/>
      <c r="GME103" s="450"/>
      <c r="GMF103" s="450"/>
      <c r="GMG103" s="450"/>
      <c r="GMH103" s="450"/>
      <c r="GMI103" s="450"/>
      <c r="GMJ103" s="450"/>
      <c r="GMK103" s="450"/>
      <c r="GML103" s="450"/>
      <c r="GMM103" s="450"/>
      <c r="GMN103" s="450"/>
      <c r="GMO103" s="450"/>
      <c r="GMP103" s="450"/>
      <c r="GMQ103" s="450"/>
      <c r="GMR103" s="450"/>
      <c r="GMS103" s="450"/>
      <c r="GMT103" s="450"/>
      <c r="GMU103" s="450"/>
      <c r="GMV103" s="450"/>
      <c r="GMW103" s="450"/>
      <c r="GMX103" s="450"/>
      <c r="GMY103" s="450"/>
      <c r="GMZ103" s="450"/>
      <c r="GNA103" s="450"/>
      <c r="GNB103" s="450"/>
      <c r="GNC103" s="450"/>
      <c r="GND103" s="450"/>
      <c r="GNE103" s="450"/>
      <c r="GNF103" s="450"/>
      <c r="GNG103" s="450"/>
      <c r="GNH103" s="450"/>
      <c r="GNI103" s="450"/>
      <c r="GNJ103" s="450"/>
      <c r="GNK103" s="450"/>
      <c r="GNL103" s="450"/>
      <c r="GNM103" s="450"/>
      <c r="GNN103" s="450"/>
      <c r="GNO103" s="450"/>
      <c r="GNP103" s="450"/>
      <c r="GNQ103" s="450"/>
      <c r="GNR103" s="450"/>
      <c r="GNS103" s="450"/>
      <c r="GNT103" s="450"/>
      <c r="GNU103" s="450"/>
      <c r="GNV103" s="450"/>
      <c r="GNW103" s="450"/>
      <c r="GNX103" s="450"/>
      <c r="GNY103" s="450"/>
      <c r="GNZ103" s="450"/>
      <c r="GOA103" s="450"/>
      <c r="GOB103" s="450"/>
      <c r="GOC103" s="450"/>
      <c r="GOD103" s="450"/>
      <c r="GOE103" s="450"/>
      <c r="GOF103" s="450"/>
      <c r="GOG103" s="450"/>
      <c r="GOH103" s="450"/>
      <c r="GOI103" s="450"/>
      <c r="GOJ103" s="450"/>
      <c r="GOK103" s="450"/>
      <c r="GOL103" s="450"/>
      <c r="GOM103" s="450"/>
      <c r="GON103" s="450"/>
      <c r="GOO103" s="450"/>
      <c r="GOP103" s="450"/>
      <c r="GOQ103" s="450"/>
      <c r="GOR103" s="450"/>
      <c r="GOS103" s="450"/>
      <c r="GOT103" s="450"/>
      <c r="GOU103" s="450"/>
      <c r="GOV103" s="450"/>
      <c r="GOW103" s="450"/>
      <c r="GOX103" s="450"/>
      <c r="GOY103" s="450"/>
      <c r="GOZ103" s="450"/>
      <c r="GPA103" s="450"/>
      <c r="GPB103" s="450"/>
      <c r="GPC103" s="450"/>
      <c r="GPD103" s="450"/>
      <c r="GPE103" s="450"/>
      <c r="GPF103" s="450"/>
      <c r="GPG103" s="450"/>
      <c r="GPH103" s="450"/>
      <c r="GPI103" s="450"/>
      <c r="GPJ103" s="450"/>
      <c r="GPK103" s="450"/>
      <c r="GPL103" s="450"/>
      <c r="GPM103" s="450"/>
      <c r="GPN103" s="450"/>
      <c r="GPO103" s="450"/>
      <c r="GPP103" s="450"/>
      <c r="GPQ103" s="450"/>
      <c r="GPR103" s="450"/>
      <c r="GPS103" s="450"/>
      <c r="GPT103" s="450"/>
      <c r="GPU103" s="450"/>
      <c r="GPV103" s="450"/>
      <c r="GPW103" s="450"/>
      <c r="GPX103" s="450"/>
      <c r="GPY103" s="450"/>
      <c r="GPZ103" s="450"/>
      <c r="GQA103" s="450"/>
      <c r="GQB103" s="450"/>
      <c r="GQC103" s="450"/>
      <c r="GQD103" s="450"/>
      <c r="GQE103" s="450"/>
      <c r="GQF103" s="450"/>
      <c r="GQG103" s="450"/>
      <c r="GQH103" s="450"/>
      <c r="GQI103" s="450"/>
      <c r="GQJ103" s="450"/>
      <c r="GQK103" s="450"/>
      <c r="GQL103" s="450"/>
      <c r="GQM103" s="450"/>
      <c r="GQN103" s="450"/>
      <c r="GQO103" s="450"/>
      <c r="GQP103" s="450"/>
      <c r="GQQ103" s="450"/>
      <c r="GQR103" s="450"/>
      <c r="GQS103" s="450"/>
      <c r="GQT103" s="450"/>
      <c r="GQU103" s="450"/>
      <c r="GQV103" s="450"/>
      <c r="GQW103" s="450"/>
      <c r="GQX103" s="450"/>
      <c r="GQY103" s="450"/>
      <c r="GQZ103" s="450"/>
      <c r="GRA103" s="450"/>
      <c r="GRB103" s="450"/>
      <c r="GRC103" s="450"/>
      <c r="GRD103" s="450"/>
      <c r="GRE103" s="450"/>
      <c r="GRF103" s="450"/>
      <c r="GRG103" s="450"/>
      <c r="GRH103" s="450"/>
      <c r="GRI103" s="450"/>
      <c r="GRJ103" s="450"/>
      <c r="GRK103" s="450"/>
      <c r="GRL103" s="450"/>
      <c r="GRM103" s="450"/>
      <c r="GRN103" s="450"/>
      <c r="GRO103" s="450"/>
      <c r="GRP103" s="450"/>
      <c r="GRQ103" s="450"/>
      <c r="GRR103" s="450"/>
      <c r="GRS103" s="450"/>
      <c r="GRT103" s="450"/>
      <c r="GRU103" s="450"/>
      <c r="GRV103" s="450"/>
      <c r="GRW103" s="450"/>
      <c r="GRX103" s="450"/>
      <c r="GRY103" s="450"/>
      <c r="GRZ103" s="450"/>
      <c r="GSA103" s="450"/>
      <c r="GSB103" s="450"/>
      <c r="GSC103" s="450"/>
      <c r="GSD103" s="450"/>
      <c r="GSE103" s="450"/>
      <c r="GSF103" s="450"/>
      <c r="GSG103" s="450"/>
      <c r="GSH103" s="450"/>
      <c r="GSI103" s="450"/>
      <c r="GSJ103" s="450"/>
      <c r="GSK103" s="450"/>
      <c r="GSL103" s="450"/>
      <c r="GSM103" s="450"/>
      <c r="GSN103" s="450"/>
      <c r="GSO103" s="450"/>
      <c r="GSP103" s="450"/>
      <c r="GSQ103" s="450"/>
      <c r="GSR103" s="450"/>
      <c r="GSS103" s="450"/>
      <c r="GST103" s="450"/>
      <c r="GSU103" s="450"/>
      <c r="GSV103" s="450"/>
      <c r="GSW103" s="450"/>
      <c r="GSX103" s="450"/>
      <c r="GSY103" s="450"/>
      <c r="GSZ103" s="450"/>
      <c r="GTA103" s="450"/>
      <c r="GTB103" s="450"/>
      <c r="GTC103" s="450"/>
      <c r="GTD103" s="450"/>
      <c r="GTE103" s="450"/>
      <c r="GTF103" s="450"/>
      <c r="GTG103" s="450"/>
      <c r="GTH103" s="450"/>
      <c r="GTI103" s="450"/>
      <c r="GTJ103" s="450"/>
      <c r="GTK103" s="450"/>
      <c r="GTL103" s="450"/>
      <c r="GTM103" s="450"/>
      <c r="GTN103" s="450"/>
      <c r="GTO103" s="450"/>
      <c r="GTP103" s="450"/>
      <c r="GTQ103" s="450"/>
      <c r="GTR103" s="450"/>
      <c r="GTS103" s="450"/>
      <c r="GTT103" s="450"/>
      <c r="GTU103" s="450"/>
      <c r="GTV103" s="450"/>
      <c r="GTW103" s="450"/>
      <c r="GTX103" s="450"/>
      <c r="GTY103" s="450"/>
      <c r="GTZ103" s="450"/>
      <c r="GUA103" s="450"/>
      <c r="GUB103" s="450"/>
      <c r="GUC103" s="450"/>
      <c r="GUD103" s="450"/>
      <c r="GUE103" s="450"/>
      <c r="GUF103" s="450"/>
      <c r="GUG103" s="450"/>
      <c r="GUH103" s="450"/>
      <c r="GUI103" s="450"/>
      <c r="GUJ103" s="450"/>
      <c r="GUK103" s="450"/>
      <c r="GUL103" s="450"/>
      <c r="GUM103" s="450"/>
      <c r="GUN103" s="450"/>
      <c r="GUO103" s="450"/>
      <c r="GUP103" s="450"/>
      <c r="GUQ103" s="450"/>
      <c r="GUR103" s="450"/>
      <c r="GUS103" s="450"/>
      <c r="GUT103" s="450"/>
      <c r="GUU103" s="450"/>
      <c r="GUV103" s="450"/>
      <c r="GUW103" s="450"/>
      <c r="GUX103" s="450"/>
      <c r="GUY103" s="450"/>
      <c r="GUZ103" s="450"/>
      <c r="GVA103" s="450"/>
      <c r="GVB103" s="450"/>
      <c r="GVC103" s="450"/>
      <c r="GVD103" s="450"/>
      <c r="GVE103" s="450"/>
      <c r="GVF103" s="450"/>
      <c r="GVG103" s="450"/>
      <c r="GVH103" s="450"/>
      <c r="GVI103" s="450"/>
      <c r="GVJ103" s="450"/>
      <c r="GVK103" s="450"/>
      <c r="GVL103" s="450"/>
      <c r="GVM103" s="450"/>
      <c r="GVN103" s="450"/>
      <c r="GVO103" s="450"/>
      <c r="GVP103" s="450"/>
      <c r="GVQ103" s="450"/>
      <c r="GVR103" s="450"/>
      <c r="GVS103" s="450"/>
      <c r="GVT103" s="450"/>
      <c r="GVU103" s="450"/>
      <c r="GVV103" s="450"/>
      <c r="GVW103" s="450"/>
      <c r="GVX103" s="450"/>
      <c r="GVY103" s="450"/>
      <c r="GVZ103" s="450"/>
      <c r="GWA103" s="450"/>
      <c r="GWB103" s="450"/>
      <c r="GWC103" s="450"/>
      <c r="GWD103" s="450"/>
      <c r="GWE103" s="450"/>
      <c r="GWF103" s="450"/>
      <c r="GWG103" s="450"/>
      <c r="GWH103" s="450"/>
      <c r="GWI103" s="450"/>
      <c r="GWJ103" s="450"/>
      <c r="GWK103" s="450"/>
      <c r="GWL103" s="450"/>
      <c r="GWM103" s="450"/>
      <c r="GWN103" s="450"/>
      <c r="GWO103" s="450"/>
      <c r="GWP103" s="450"/>
      <c r="GWQ103" s="450"/>
      <c r="GWR103" s="450"/>
      <c r="GWS103" s="450"/>
      <c r="GWT103" s="450"/>
      <c r="GWU103" s="450"/>
      <c r="GWV103" s="450"/>
      <c r="GWW103" s="450"/>
      <c r="GWX103" s="450"/>
      <c r="GWY103" s="450"/>
      <c r="GWZ103" s="450"/>
      <c r="GXA103" s="450"/>
      <c r="GXB103" s="450"/>
      <c r="GXC103" s="450"/>
      <c r="GXD103" s="450"/>
      <c r="GXE103" s="450"/>
      <c r="GXF103" s="450"/>
      <c r="GXG103" s="450"/>
      <c r="GXH103" s="450"/>
      <c r="GXI103" s="450"/>
      <c r="GXJ103" s="450"/>
      <c r="GXK103" s="450"/>
      <c r="GXL103" s="450"/>
      <c r="GXM103" s="450"/>
      <c r="GXN103" s="450"/>
      <c r="GXO103" s="450"/>
      <c r="GXP103" s="450"/>
      <c r="GXQ103" s="450"/>
      <c r="GXR103" s="450"/>
      <c r="GXS103" s="450"/>
      <c r="GXT103" s="450"/>
      <c r="GXU103" s="450"/>
      <c r="GXV103" s="450"/>
      <c r="GXW103" s="450"/>
      <c r="GXX103" s="450"/>
      <c r="GXY103" s="450"/>
      <c r="GXZ103" s="450"/>
      <c r="GYA103" s="450"/>
      <c r="GYB103" s="450"/>
      <c r="GYC103" s="450"/>
      <c r="GYD103" s="450"/>
      <c r="GYE103" s="450"/>
      <c r="GYF103" s="450"/>
      <c r="GYG103" s="450"/>
      <c r="GYH103" s="450"/>
      <c r="GYI103" s="450"/>
      <c r="GYJ103" s="450"/>
      <c r="GYK103" s="450"/>
      <c r="GYL103" s="450"/>
      <c r="GYM103" s="450"/>
      <c r="GYN103" s="450"/>
      <c r="GYO103" s="450"/>
      <c r="GYP103" s="450"/>
      <c r="GYQ103" s="450"/>
      <c r="GYR103" s="450"/>
      <c r="GYS103" s="450"/>
      <c r="GYT103" s="450"/>
      <c r="GYU103" s="450"/>
      <c r="GYV103" s="450"/>
      <c r="GYW103" s="450"/>
      <c r="GYX103" s="450"/>
      <c r="GYY103" s="450"/>
      <c r="GYZ103" s="450"/>
      <c r="GZA103" s="450"/>
      <c r="GZB103" s="450"/>
      <c r="GZC103" s="450"/>
      <c r="GZD103" s="450"/>
      <c r="GZE103" s="450"/>
      <c r="GZF103" s="450"/>
      <c r="GZG103" s="450"/>
      <c r="GZH103" s="450"/>
      <c r="GZI103" s="450"/>
      <c r="GZJ103" s="450"/>
      <c r="GZK103" s="450"/>
      <c r="GZL103" s="450"/>
      <c r="GZM103" s="450"/>
      <c r="GZN103" s="450"/>
      <c r="GZO103" s="450"/>
      <c r="GZP103" s="450"/>
      <c r="GZQ103" s="450"/>
      <c r="GZR103" s="450"/>
      <c r="GZS103" s="450"/>
      <c r="GZT103" s="450"/>
      <c r="GZU103" s="450"/>
      <c r="GZV103" s="450"/>
      <c r="GZW103" s="450"/>
      <c r="GZX103" s="450"/>
      <c r="GZY103" s="450"/>
      <c r="GZZ103" s="450"/>
      <c r="HAA103" s="450"/>
      <c r="HAB103" s="450"/>
      <c r="HAC103" s="450"/>
      <c r="HAD103" s="450"/>
      <c r="HAE103" s="450"/>
      <c r="HAF103" s="450"/>
      <c r="HAG103" s="450"/>
      <c r="HAH103" s="450"/>
      <c r="HAI103" s="450"/>
      <c r="HAJ103" s="450"/>
      <c r="HAK103" s="450"/>
      <c r="HAL103" s="450"/>
      <c r="HAM103" s="450"/>
      <c r="HAN103" s="450"/>
      <c r="HAO103" s="450"/>
      <c r="HAP103" s="450"/>
      <c r="HAQ103" s="450"/>
      <c r="HAR103" s="450"/>
      <c r="HAS103" s="450"/>
      <c r="HAT103" s="450"/>
      <c r="HAU103" s="450"/>
      <c r="HAV103" s="450"/>
      <c r="HAW103" s="450"/>
      <c r="HAX103" s="450"/>
      <c r="HAY103" s="450"/>
      <c r="HAZ103" s="450"/>
      <c r="HBA103" s="450"/>
      <c r="HBB103" s="450"/>
      <c r="HBC103" s="450"/>
      <c r="HBD103" s="450"/>
      <c r="HBE103" s="450"/>
      <c r="HBF103" s="450"/>
      <c r="HBG103" s="450"/>
      <c r="HBH103" s="450"/>
      <c r="HBI103" s="450"/>
      <c r="HBJ103" s="450"/>
      <c r="HBK103" s="450"/>
      <c r="HBL103" s="450"/>
      <c r="HBM103" s="450"/>
      <c r="HBN103" s="450"/>
      <c r="HBO103" s="450"/>
      <c r="HBP103" s="450"/>
      <c r="HBQ103" s="450"/>
      <c r="HBR103" s="450"/>
      <c r="HBS103" s="450"/>
      <c r="HBT103" s="450"/>
      <c r="HBU103" s="450"/>
      <c r="HBV103" s="450"/>
      <c r="HBW103" s="450"/>
      <c r="HBX103" s="450"/>
      <c r="HBY103" s="450"/>
      <c r="HBZ103" s="450"/>
      <c r="HCA103" s="450"/>
      <c r="HCB103" s="450"/>
      <c r="HCC103" s="450"/>
      <c r="HCD103" s="450"/>
      <c r="HCE103" s="450"/>
      <c r="HCF103" s="450"/>
      <c r="HCG103" s="450"/>
      <c r="HCH103" s="450"/>
      <c r="HCI103" s="450"/>
      <c r="HCJ103" s="450"/>
      <c r="HCK103" s="450"/>
      <c r="HCL103" s="450"/>
      <c r="HCM103" s="450"/>
      <c r="HCN103" s="450"/>
      <c r="HCO103" s="450"/>
      <c r="HCP103" s="450"/>
      <c r="HCQ103" s="450"/>
      <c r="HCR103" s="450"/>
      <c r="HCS103" s="450"/>
      <c r="HCT103" s="450"/>
      <c r="HCU103" s="450"/>
      <c r="HCV103" s="450"/>
      <c r="HCW103" s="450"/>
      <c r="HCX103" s="450"/>
      <c r="HCY103" s="450"/>
      <c r="HCZ103" s="450"/>
      <c r="HDA103" s="450"/>
      <c r="HDB103" s="450"/>
      <c r="HDC103" s="450"/>
      <c r="HDD103" s="450"/>
      <c r="HDE103" s="450"/>
      <c r="HDF103" s="450"/>
      <c r="HDG103" s="450"/>
      <c r="HDH103" s="450"/>
      <c r="HDI103" s="450"/>
      <c r="HDJ103" s="450"/>
      <c r="HDK103" s="450"/>
      <c r="HDL103" s="450"/>
      <c r="HDM103" s="450"/>
      <c r="HDN103" s="450"/>
      <c r="HDO103" s="450"/>
      <c r="HDP103" s="450"/>
      <c r="HDQ103" s="450"/>
      <c r="HDR103" s="450"/>
      <c r="HDS103" s="450"/>
      <c r="HDT103" s="450"/>
      <c r="HDU103" s="450"/>
      <c r="HDV103" s="450"/>
      <c r="HDW103" s="450"/>
      <c r="HDX103" s="450"/>
      <c r="HDY103" s="450"/>
      <c r="HDZ103" s="450"/>
      <c r="HEA103" s="450"/>
      <c r="HEB103" s="450"/>
      <c r="HEC103" s="450"/>
      <c r="HED103" s="450"/>
      <c r="HEE103" s="450"/>
      <c r="HEF103" s="450"/>
      <c r="HEG103" s="450"/>
      <c r="HEH103" s="450"/>
      <c r="HEI103" s="450"/>
      <c r="HEJ103" s="450"/>
      <c r="HEK103" s="450"/>
      <c r="HEL103" s="450"/>
      <c r="HEM103" s="450"/>
      <c r="HEN103" s="450"/>
      <c r="HEO103" s="450"/>
      <c r="HEP103" s="450"/>
      <c r="HEQ103" s="450"/>
      <c r="HER103" s="450"/>
      <c r="HES103" s="450"/>
      <c r="HET103" s="450"/>
      <c r="HEU103" s="450"/>
      <c r="HEV103" s="450"/>
      <c r="HEW103" s="450"/>
      <c r="HEX103" s="450"/>
      <c r="HEY103" s="450"/>
      <c r="HEZ103" s="450"/>
      <c r="HFA103" s="450"/>
      <c r="HFB103" s="450"/>
      <c r="HFC103" s="450"/>
      <c r="HFD103" s="450"/>
      <c r="HFE103" s="450"/>
      <c r="HFF103" s="450"/>
      <c r="HFG103" s="450"/>
      <c r="HFH103" s="450"/>
      <c r="HFI103" s="450"/>
      <c r="HFJ103" s="450"/>
      <c r="HFK103" s="450"/>
      <c r="HFL103" s="450"/>
      <c r="HFM103" s="450"/>
      <c r="HFN103" s="450"/>
      <c r="HFO103" s="450"/>
      <c r="HFP103" s="450"/>
      <c r="HFQ103" s="450"/>
      <c r="HFR103" s="450"/>
      <c r="HFS103" s="450"/>
      <c r="HFT103" s="450"/>
      <c r="HFU103" s="450"/>
      <c r="HFV103" s="450"/>
      <c r="HFW103" s="450"/>
      <c r="HFX103" s="450"/>
      <c r="HFY103" s="450"/>
      <c r="HFZ103" s="450"/>
      <c r="HGA103" s="450"/>
      <c r="HGB103" s="450"/>
      <c r="HGC103" s="450"/>
      <c r="HGD103" s="450"/>
      <c r="HGE103" s="450"/>
      <c r="HGF103" s="450"/>
      <c r="HGG103" s="450"/>
      <c r="HGH103" s="450"/>
      <c r="HGI103" s="450"/>
      <c r="HGJ103" s="450"/>
      <c r="HGK103" s="450"/>
      <c r="HGL103" s="450"/>
      <c r="HGM103" s="450"/>
      <c r="HGN103" s="450"/>
      <c r="HGO103" s="450"/>
      <c r="HGP103" s="450"/>
      <c r="HGQ103" s="450"/>
      <c r="HGR103" s="450"/>
      <c r="HGS103" s="450"/>
      <c r="HGT103" s="450"/>
      <c r="HGU103" s="450"/>
      <c r="HGV103" s="450"/>
      <c r="HGW103" s="450"/>
      <c r="HGX103" s="450"/>
      <c r="HGY103" s="450"/>
      <c r="HGZ103" s="450"/>
      <c r="HHA103" s="450"/>
      <c r="HHB103" s="450"/>
      <c r="HHC103" s="450"/>
      <c r="HHD103" s="450"/>
      <c r="HHE103" s="450"/>
      <c r="HHF103" s="450"/>
      <c r="HHG103" s="450"/>
      <c r="HHH103" s="450"/>
      <c r="HHI103" s="450"/>
      <c r="HHJ103" s="450"/>
      <c r="HHK103" s="450"/>
      <c r="HHL103" s="450"/>
      <c r="HHM103" s="450"/>
      <c r="HHN103" s="450"/>
      <c r="HHO103" s="450"/>
      <c r="HHP103" s="450"/>
      <c r="HHQ103" s="450"/>
      <c r="HHR103" s="450"/>
      <c r="HHS103" s="450"/>
      <c r="HHT103" s="450"/>
      <c r="HHU103" s="450"/>
      <c r="HHV103" s="450"/>
      <c r="HHW103" s="450"/>
      <c r="HHX103" s="450"/>
      <c r="HHY103" s="450"/>
      <c r="HHZ103" s="450"/>
      <c r="HIA103" s="450"/>
      <c r="HIB103" s="450"/>
      <c r="HIC103" s="450"/>
      <c r="HID103" s="450"/>
      <c r="HIE103" s="450"/>
      <c r="HIF103" s="450"/>
      <c r="HIG103" s="450"/>
      <c r="HIH103" s="450"/>
      <c r="HII103" s="450"/>
      <c r="HIJ103" s="450"/>
      <c r="HIK103" s="450"/>
      <c r="HIL103" s="450"/>
      <c r="HIM103" s="450"/>
      <c r="HIN103" s="450"/>
      <c r="HIO103" s="450"/>
      <c r="HIP103" s="450"/>
      <c r="HIQ103" s="450"/>
      <c r="HIR103" s="450"/>
      <c r="HIS103" s="450"/>
      <c r="HIT103" s="450"/>
      <c r="HIU103" s="450"/>
      <c r="HIV103" s="450"/>
      <c r="HIW103" s="450"/>
      <c r="HIX103" s="450"/>
      <c r="HIY103" s="450"/>
      <c r="HIZ103" s="450"/>
      <c r="HJA103" s="450"/>
      <c r="HJB103" s="450"/>
      <c r="HJC103" s="450"/>
      <c r="HJD103" s="450"/>
      <c r="HJE103" s="450"/>
      <c r="HJF103" s="450"/>
      <c r="HJG103" s="450"/>
      <c r="HJH103" s="450"/>
      <c r="HJI103" s="450"/>
      <c r="HJJ103" s="450"/>
      <c r="HJK103" s="450"/>
      <c r="HJL103" s="450"/>
      <c r="HJM103" s="450"/>
      <c r="HJN103" s="450"/>
      <c r="HJO103" s="450"/>
      <c r="HJP103" s="450"/>
      <c r="HJQ103" s="450"/>
      <c r="HJR103" s="450"/>
      <c r="HJS103" s="450"/>
      <c r="HJT103" s="450"/>
      <c r="HJU103" s="450"/>
      <c r="HJV103" s="450"/>
      <c r="HJW103" s="450"/>
      <c r="HJX103" s="450"/>
      <c r="HJY103" s="450"/>
      <c r="HJZ103" s="450"/>
      <c r="HKA103" s="450"/>
      <c r="HKB103" s="450"/>
      <c r="HKC103" s="450"/>
      <c r="HKD103" s="450"/>
      <c r="HKE103" s="450"/>
      <c r="HKF103" s="450"/>
      <c r="HKG103" s="450"/>
      <c r="HKH103" s="450"/>
      <c r="HKI103" s="450"/>
      <c r="HKJ103" s="450"/>
      <c r="HKK103" s="450"/>
      <c r="HKL103" s="450"/>
      <c r="HKM103" s="450"/>
      <c r="HKN103" s="450"/>
      <c r="HKO103" s="450"/>
      <c r="HKP103" s="450"/>
      <c r="HKQ103" s="450"/>
      <c r="HKR103" s="450"/>
      <c r="HKS103" s="450"/>
      <c r="HKT103" s="450"/>
      <c r="HKU103" s="450"/>
      <c r="HKV103" s="450"/>
      <c r="HKW103" s="450"/>
      <c r="HKX103" s="450"/>
      <c r="HKY103" s="450"/>
      <c r="HKZ103" s="450"/>
      <c r="HLA103" s="450"/>
      <c r="HLB103" s="450"/>
      <c r="HLC103" s="450"/>
      <c r="HLD103" s="450"/>
      <c r="HLE103" s="450"/>
      <c r="HLF103" s="450"/>
      <c r="HLG103" s="450"/>
      <c r="HLH103" s="450"/>
      <c r="HLI103" s="450"/>
      <c r="HLJ103" s="450"/>
      <c r="HLK103" s="450"/>
      <c r="HLL103" s="450"/>
      <c r="HLM103" s="450"/>
      <c r="HLN103" s="450"/>
      <c r="HLO103" s="450"/>
      <c r="HLP103" s="450"/>
      <c r="HLQ103" s="450"/>
      <c r="HLR103" s="450"/>
      <c r="HLS103" s="450"/>
      <c r="HLT103" s="450"/>
      <c r="HLU103" s="450"/>
      <c r="HLV103" s="450"/>
      <c r="HLW103" s="450"/>
      <c r="HLX103" s="450"/>
      <c r="HLY103" s="450"/>
      <c r="HLZ103" s="450"/>
      <c r="HMA103" s="450"/>
      <c r="HMB103" s="450"/>
      <c r="HMC103" s="450"/>
      <c r="HMD103" s="450"/>
      <c r="HME103" s="450"/>
      <c r="HMF103" s="450"/>
      <c r="HMG103" s="450"/>
      <c r="HMH103" s="450"/>
      <c r="HMI103" s="450"/>
      <c r="HMJ103" s="450"/>
      <c r="HMK103" s="450"/>
      <c r="HML103" s="450"/>
      <c r="HMM103" s="450"/>
      <c r="HMN103" s="450"/>
      <c r="HMO103" s="450"/>
      <c r="HMP103" s="450"/>
      <c r="HMQ103" s="450"/>
      <c r="HMR103" s="450"/>
      <c r="HMS103" s="450"/>
      <c r="HMT103" s="450"/>
      <c r="HMU103" s="450"/>
      <c r="HMV103" s="450"/>
      <c r="HMW103" s="450"/>
      <c r="HMX103" s="450"/>
      <c r="HMY103" s="450"/>
      <c r="HMZ103" s="450"/>
      <c r="HNA103" s="450"/>
      <c r="HNB103" s="450"/>
      <c r="HNC103" s="450"/>
      <c r="HND103" s="450"/>
      <c r="HNE103" s="450"/>
      <c r="HNF103" s="450"/>
      <c r="HNG103" s="450"/>
      <c r="HNH103" s="450"/>
      <c r="HNI103" s="450"/>
      <c r="HNJ103" s="450"/>
      <c r="HNK103" s="450"/>
      <c r="HNL103" s="450"/>
      <c r="HNM103" s="450"/>
      <c r="HNN103" s="450"/>
      <c r="HNO103" s="450"/>
      <c r="HNP103" s="450"/>
      <c r="HNQ103" s="450"/>
      <c r="HNR103" s="450"/>
      <c r="HNS103" s="450"/>
      <c r="HNT103" s="450"/>
      <c r="HNU103" s="450"/>
      <c r="HNV103" s="450"/>
      <c r="HNW103" s="450"/>
      <c r="HNX103" s="450"/>
      <c r="HNY103" s="450"/>
      <c r="HNZ103" s="450"/>
      <c r="HOA103" s="450"/>
      <c r="HOB103" s="450"/>
      <c r="HOC103" s="450"/>
      <c r="HOD103" s="450"/>
      <c r="HOE103" s="450"/>
      <c r="HOF103" s="450"/>
      <c r="HOG103" s="450"/>
      <c r="HOH103" s="450"/>
      <c r="HOI103" s="450"/>
      <c r="HOJ103" s="450"/>
      <c r="HOK103" s="450"/>
      <c r="HOL103" s="450"/>
      <c r="HOM103" s="450"/>
      <c r="HON103" s="450"/>
      <c r="HOO103" s="450"/>
      <c r="HOP103" s="450"/>
      <c r="HOQ103" s="450"/>
      <c r="HOR103" s="450"/>
      <c r="HOS103" s="450"/>
      <c r="HOT103" s="450"/>
      <c r="HOU103" s="450"/>
      <c r="HOV103" s="450"/>
      <c r="HOW103" s="450"/>
      <c r="HOX103" s="450"/>
      <c r="HOY103" s="450"/>
      <c r="HOZ103" s="450"/>
      <c r="HPA103" s="450"/>
      <c r="HPB103" s="450"/>
      <c r="HPC103" s="450"/>
      <c r="HPD103" s="450"/>
      <c r="HPE103" s="450"/>
      <c r="HPF103" s="450"/>
      <c r="HPG103" s="450"/>
      <c r="HPH103" s="450"/>
      <c r="HPI103" s="450"/>
      <c r="HPJ103" s="450"/>
      <c r="HPK103" s="450"/>
      <c r="HPL103" s="450"/>
      <c r="HPM103" s="450"/>
      <c r="HPN103" s="450"/>
      <c r="HPO103" s="450"/>
      <c r="HPP103" s="450"/>
      <c r="HPQ103" s="450"/>
      <c r="HPR103" s="450"/>
      <c r="HPS103" s="450"/>
      <c r="HPT103" s="450"/>
      <c r="HPU103" s="450"/>
      <c r="HPV103" s="450"/>
      <c r="HPW103" s="450"/>
      <c r="HPX103" s="450"/>
      <c r="HPY103" s="450"/>
      <c r="HPZ103" s="450"/>
      <c r="HQA103" s="450"/>
      <c r="HQB103" s="450"/>
      <c r="HQC103" s="450"/>
      <c r="HQD103" s="450"/>
      <c r="HQE103" s="450"/>
      <c r="HQF103" s="450"/>
      <c r="HQG103" s="450"/>
      <c r="HQH103" s="450"/>
      <c r="HQI103" s="450"/>
      <c r="HQJ103" s="450"/>
      <c r="HQK103" s="450"/>
      <c r="HQL103" s="450"/>
      <c r="HQM103" s="450"/>
      <c r="HQN103" s="450"/>
      <c r="HQO103" s="450"/>
      <c r="HQP103" s="450"/>
      <c r="HQQ103" s="450"/>
      <c r="HQR103" s="450"/>
      <c r="HQS103" s="450"/>
      <c r="HQT103" s="450"/>
      <c r="HQU103" s="450"/>
      <c r="HQV103" s="450"/>
      <c r="HQW103" s="450"/>
      <c r="HQX103" s="450"/>
      <c r="HQY103" s="450"/>
      <c r="HQZ103" s="450"/>
      <c r="HRA103" s="450"/>
      <c r="HRB103" s="450"/>
      <c r="HRC103" s="450"/>
      <c r="HRD103" s="450"/>
      <c r="HRE103" s="450"/>
      <c r="HRF103" s="450"/>
      <c r="HRG103" s="450"/>
      <c r="HRH103" s="450"/>
      <c r="HRI103" s="450"/>
      <c r="HRJ103" s="450"/>
      <c r="HRK103" s="450"/>
      <c r="HRL103" s="450"/>
      <c r="HRM103" s="450"/>
      <c r="HRN103" s="450"/>
      <c r="HRO103" s="450"/>
      <c r="HRP103" s="450"/>
      <c r="HRQ103" s="450"/>
      <c r="HRR103" s="450"/>
      <c r="HRS103" s="450"/>
      <c r="HRT103" s="450"/>
      <c r="HRU103" s="450"/>
      <c r="HRV103" s="450"/>
      <c r="HRW103" s="450"/>
      <c r="HRX103" s="450"/>
      <c r="HRY103" s="450"/>
      <c r="HRZ103" s="450"/>
      <c r="HSA103" s="450"/>
      <c r="HSB103" s="450"/>
      <c r="HSC103" s="450"/>
      <c r="HSD103" s="450"/>
      <c r="HSE103" s="450"/>
      <c r="HSF103" s="450"/>
      <c r="HSG103" s="450"/>
      <c r="HSH103" s="450"/>
      <c r="HSI103" s="450"/>
      <c r="HSJ103" s="450"/>
      <c r="HSK103" s="450"/>
      <c r="HSL103" s="450"/>
      <c r="HSM103" s="450"/>
      <c r="HSN103" s="450"/>
      <c r="HSO103" s="450"/>
      <c r="HSP103" s="450"/>
      <c r="HSQ103" s="450"/>
      <c r="HSR103" s="450"/>
      <c r="HSS103" s="450"/>
      <c r="HST103" s="450"/>
      <c r="HSU103" s="450"/>
      <c r="HSV103" s="450"/>
      <c r="HSW103" s="450"/>
      <c r="HSX103" s="450"/>
      <c r="HSY103" s="450"/>
      <c r="HSZ103" s="450"/>
      <c r="HTA103" s="450"/>
      <c r="HTB103" s="450"/>
      <c r="HTC103" s="450"/>
      <c r="HTD103" s="450"/>
      <c r="HTE103" s="450"/>
      <c r="HTF103" s="450"/>
      <c r="HTG103" s="450"/>
      <c r="HTH103" s="450"/>
      <c r="HTI103" s="450"/>
      <c r="HTJ103" s="450"/>
      <c r="HTK103" s="450"/>
      <c r="HTL103" s="450"/>
      <c r="HTM103" s="450"/>
      <c r="HTN103" s="450"/>
      <c r="HTO103" s="450"/>
      <c r="HTP103" s="450"/>
      <c r="HTQ103" s="450"/>
      <c r="HTR103" s="450"/>
      <c r="HTS103" s="450"/>
      <c r="HTT103" s="450"/>
      <c r="HTU103" s="450"/>
      <c r="HTV103" s="450"/>
      <c r="HTW103" s="450"/>
      <c r="HTX103" s="450"/>
      <c r="HTY103" s="450"/>
      <c r="HTZ103" s="450"/>
      <c r="HUA103" s="450"/>
      <c r="HUB103" s="450"/>
      <c r="HUC103" s="450"/>
      <c r="HUD103" s="450"/>
      <c r="HUE103" s="450"/>
      <c r="HUF103" s="450"/>
      <c r="HUG103" s="450"/>
      <c r="HUH103" s="450"/>
      <c r="HUI103" s="450"/>
      <c r="HUJ103" s="450"/>
      <c r="HUK103" s="450"/>
      <c r="HUL103" s="450"/>
      <c r="HUM103" s="450"/>
      <c r="HUN103" s="450"/>
      <c r="HUO103" s="450"/>
      <c r="HUP103" s="450"/>
      <c r="HUQ103" s="450"/>
      <c r="HUR103" s="450"/>
      <c r="HUS103" s="450"/>
      <c r="HUT103" s="450"/>
      <c r="HUU103" s="450"/>
      <c r="HUV103" s="450"/>
      <c r="HUW103" s="450"/>
      <c r="HUX103" s="450"/>
      <c r="HUY103" s="450"/>
      <c r="HUZ103" s="450"/>
      <c r="HVA103" s="450"/>
      <c r="HVB103" s="450"/>
      <c r="HVC103" s="450"/>
      <c r="HVD103" s="450"/>
      <c r="HVE103" s="450"/>
      <c r="HVF103" s="450"/>
      <c r="HVG103" s="450"/>
      <c r="HVH103" s="450"/>
      <c r="HVI103" s="450"/>
      <c r="HVJ103" s="450"/>
      <c r="HVK103" s="450"/>
      <c r="HVL103" s="450"/>
      <c r="HVM103" s="450"/>
      <c r="HVN103" s="450"/>
      <c r="HVO103" s="450"/>
      <c r="HVP103" s="450"/>
      <c r="HVQ103" s="450"/>
      <c r="HVR103" s="450"/>
      <c r="HVS103" s="450"/>
      <c r="HVT103" s="450"/>
      <c r="HVU103" s="450"/>
      <c r="HVV103" s="450"/>
      <c r="HVW103" s="450"/>
      <c r="HVX103" s="450"/>
      <c r="HVY103" s="450"/>
      <c r="HVZ103" s="450"/>
      <c r="HWA103" s="450"/>
      <c r="HWB103" s="450"/>
      <c r="HWC103" s="450"/>
      <c r="HWD103" s="450"/>
      <c r="HWE103" s="450"/>
      <c r="HWF103" s="450"/>
      <c r="HWG103" s="450"/>
      <c r="HWH103" s="450"/>
      <c r="HWI103" s="450"/>
      <c r="HWJ103" s="450"/>
      <c r="HWK103" s="450"/>
      <c r="HWL103" s="450"/>
      <c r="HWM103" s="450"/>
      <c r="HWN103" s="450"/>
      <c r="HWO103" s="450"/>
      <c r="HWP103" s="450"/>
      <c r="HWQ103" s="450"/>
      <c r="HWR103" s="450"/>
      <c r="HWS103" s="450"/>
      <c r="HWT103" s="450"/>
      <c r="HWU103" s="450"/>
      <c r="HWV103" s="450"/>
      <c r="HWW103" s="450"/>
      <c r="HWX103" s="450"/>
      <c r="HWY103" s="450"/>
      <c r="HWZ103" s="450"/>
      <c r="HXA103" s="450"/>
      <c r="HXB103" s="450"/>
      <c r="HXC103" s="450"/>
      <c r="HXD103" s="450"/>
      <c r="HXE103" s="450"/>
      <c r="HXF103" s="450"/>
      <c r="HXG103" s="450"/>
      <c r="HXH103" s="450"/>
      <c r="HXI103" s="450"/>
      <c r="HXJ103" s="450"/>
      <c r="HXK103" s="450"/>
      <c r="HXL103" s="450"/>
      <c r="HXM103" s="450"/>
      <c r="HXN103" s="450"/>
      <c r="HXO103" s="450"/>
      <c r="HXP103" s="450"/>
      <c r="HXQ103" s="450"/>
      <c r="HXR103" s="450"/>
      <c r="HXS103" s="450"/>
      <c r="HXT103" s="450"/>
      <c r="HXU103" s="450"/>
      <c r="HXV103" s="450"/>
      <c r="HXW103" s="450"/>
      <c r="HXX103" s="450"/>
      <c r="HXY103" s="450"/>
      <c r="HXZ103" s="450"/>
      <c r="HYA103" s="450"/>
      <c r="HYB103" s="450"/>
      <c r="HYC103" s="450"/>
      <c r="HYD103" s="450"/>
      <c r="HYE103" s="450"/>
      <c r="HYF103" s="450"/>
      <c r="HYG103" s="450"/>
      <c r="HYH103" s="450"/>
      <c r="HYI103" s="450"/>
      <c r="HYJ103" s="450"/>
      <c r="HYK103" s="450"/>
      <c r="HYL103" s="450"/>
      <c r="HYM103" s="450"/>
      <c r="HYN103" s="450"/>
      <c r="HYO103" s="450"/>
      <c r="HYP103" s="450"/>
      <c r="HYQ103" s="450"/>
      <c r="HYR103" s="450"/>
      <c r="HYS103" s="450"/>
      <c r="HYT103" s="450"/>
      <c r="HYU103" s="450"/>
      <c r="HYV103" s="450"/>
      <c r="HYW103" s="450"/>
      <c r="HYX103" s="450"/>
      <c r="HYY103" s="450"/>
      <c r="HYZ103" s="450"/>
      <c r="HZA103" s="450"/>
      <c r="HZB103" s="450"/>
      <c r="HZC103" s="450"/>
      <c r="HZD103" s="450"/>
      <c r="HZE103" s="450"/>
      <c r="HZF103" s="450"/>
      <c r="HZG103" s="450"/>
      <c r="HZH103" s="450"/>
      <c r="HZI103" s="450"/>
      <c r="HZJ103" s="450"/>
      <c r="HZK103" s="450"/>
      <c r="HZL103" s="450"/>
      <c r="HZM103" s="450"/>
      <c r="HZN103" s="450"/>
      <c r="HZO103" s="450"/>
      <c r="HZP103" s="450"/>
      <c r="HZQ103" s="450"/>
      <c r="HZR103" s="450"/>
      <c r="HZS103" s="450"/>
      <c r="HZT103" s="450"/>
      <c r="HZU103" s="450"/>
      <c r="HZV103" s="450"/>
      <c r="HZW103" s="450"/>
      <c r="HZX103" s="450"/>
      <c r="HZY103" s="450"/>
      <c r="HZZ103" s="450"/>
      <c r="IAA103" s="450"/>
      <c r="IAB103" s="450"/>
      <c r="IAC103" s="450"/>
      <c r="IAD103" s="450"/>
      <c r="IAE103" s="450"/>
      <c r="IAF103" s="450"/>
      <c r="IAG103" s="450"/>
      <c r="IAH103" s="450"/>
      <c r="IAI103" s="450"/>
      <c r="IAJ103" s="450"/>
      <c r="IAK103" s="450"/>
      <c r="IAL103" s="450"/>
      <c r="IAM103" s="450"/>
      <c r="IAN103" s="450"/>
      <c r="IAO103" s="450"/>
      <c r="IAP103" s="450"/>
      <c r="IAQ103" s="450"/>
      <c r="IAR103" s="450"/>
      <c r="IAS103" s="450"/>
      <c r="IAT103" s="450"/>
      <c r="IAU103" s="450"/>
      <c r="IAV103" s="450"/>
      <c r="IAW103" s="450"/>
      <c r="IAX103" s="450"/>
      <c r="IAY103" s="450"/>
      <c r="IAZ103" s="450"/>
      <c r="IBA103" s="450"/>
      <c r="IBB103" s="450"/>
      <c r="IBC103" s="450"/>
      <c r="IBD103" s="450"/>
      <c r="IBE103" s="450"/>
      <c r="IBF103" s="450"/>
      <c r="IBG103" s="450"/>
      <c r="IBH103" s="450"/>
      <c r="IBI103" s="450"/>
      <c r="IBJ103" s="450"/>
      <c r="IBK103" s="450"/>
      <c r="IBL103" s="450"/>
      <c r="IBM103" s="450"/>
      <c r="IBN103" s="450"/>
      <c r="IBO103" s="450"/>
      <c r="IBP103" s="450"/>
      <c r="IBQ103" s="450"/>
      <c r="IBR103" s="450"/>
      <c r="IBS103" s="450"/>
      <c r="IBT103" s="450"/>
      <c r="IBU103" s="450"/>
      <c r="IBV103" s="450"/>
      <c r="IBW103" s="450"/>
      <c r="IBX103" s="450"/>
      <c r="IBY103" s="450"/>
      <c r="IBZ103" s="450"/>
      <c r="ICA103" s="450"/>
      <c r="ICB103" s="450"/>
      <c r="ICC103" s="450"/>
      <c r="ICD103" s="450"/>
      <c r="ICE103" s="450"/>
      <c r="ICF103" s="450"/>
      <c r="ICG103" s="450"/>
      <c r="ICH103" s="450"/>
      <c r="ICI103" s="450"/>
      <c r="ICJ103" s="450"/>
      <c r="ICK103" s="450"/>
      <c r="ICL103" s="450"/>
      <c r="ICM103" s="450"/>
      <c r="ICN103" s="450"/>
      <c r="ICO103" s="450"/>
      <c r="ICP103" s="450"/>
      <c r="ICQ103" s="450"/>
      <c r="ICR103" s="450"/>
      <c r="ICS103" s="450"/>
      <c r="ICT103" s="450"/>
      <c r="ICU103" s="450"/>
      <c r="ICV103" s="450"/>
      <c r="ICW103" s="450"/>
      <c r="ICX103" s="450"/>
      <c r="ICY103" s="450"/>
      <c r="ICZ103" s="450"/>
      <c r="IDA103" s="450"/>
      <c r="IDB103" s="450"/>
      <c r="IDC103" s="450"/>
      <c r="IDD103" s="450"/>
      <c r="IDE103" s="450"/>
      <c r="IDF103" s="450"/>
      <c r="IDG103" s="450"/>
      <c r="IDH103" s="450"/>
      <c r="IDI103" s="450"/>
      <c r="IDJ103" s="450"/>
      <c r="IDK103" s="450"/>
      <c r="IDL103" s="450"/>
      <c r="IDM103" s="450"/>
      <c r="IDN103" s="450"/>
      <c r="IDO103" s="450"/>
      <c r="IDP103" s="450"/>
      <c r="IDQ103" s="450"/>
      <c r="IDR103" s="450"/>
      <c r="IDS103" s="450"/>
      <c r="IDT103" s="450"/>
      <c r="IDU103" s="450"/>
      <c r="IDV103" s="450"/>
      <c r="IDW103" s="450"/>
      <c r="IDX103" s="450"/>
      <c r="IDY103" s="450"/>
      <c r="IDZ103" s="450"/>
      <c r="IEA103" s="450"/>
      <c r="IEB103" s="450"/>
      <c r="IEC103" s="450"/>
      <c r="IED103" s="450"/>
      <c r="IEE103" s="450"/>
      <c r="IEF103" s="450"/>
      <c r="IEG103" s="450"/>
      <c r="IEH103" s="450"/>
      <c r="IEI103" s="450"/>
      <c r="IEJ103" s="450"/>
      <c r="IEK103" s="450"/>
      <c r="IEL103" s="450"/>
      <c r="IEM103" s="450"/>
      <c r="IEN103" s="450"/>
      <c r="IEO103" s="450"/>
      <c r="IEP103" s="450"/>
      <c r="IEQ103" s="450"/>
      <c r="IER103" s="450"/>
      <c r="IES103" s="450"/>
      <c r="IET103" s="450"/>
      <c r="IEU103" s="450"/>
      <c r="IEV103" s="450"/>
      <c r="IEW103" s="450"/>
      <c r="IEX103" s="450"/>
      <c r="IEY103" s="450"/>
      <c r="IEZ103" s="450"/>
      <c r="IFA103" s="450"/>
      <c r="IFB103" s="450"/>
      <c r="IFC103" s="450"/>
      <c r="IFD103" s="450"/>
      <c r="IFE103" s="450"/>
      <c r="IFF103" s="450"/>
      <c r="IFG103" s="450"/>
      <c r="IFH103" s="450"/>
      <c r="IFI103" s="450"/>
      <c r="IFJ103" s="450"/>
      <c r="IFK103" s="450"/>
      <c r="IFL103" s="450"/>
      <c r="IFM103" s="450"/>
      <c r="IFN103" s="450"/>
      <c r="IFO103" s="450"/>
      <c r="IFP103" s="450"/>
      <c r="IFQ103" s="450"/>
      <c r="IFR103" s="450"/>
      <c r="IFS103" s="450"/>
      <c r="IFT103" s="450"/>
      <c r="IFU103" s="450"/>
      <c r="IFV103" s="450"/>
      <c r="IFW103" s="450"/>
      <c r="IFX103" s="450"/>
      <c r="IFY103" s="450"/>
      <c r="IFZ103" s="450"/>
      <c r="IGA103" s="450"/>
      <c r="IGB103" s="450"/>
      <c r="IGC103" s="450"/>
      <c r="IGD103" s="450"/>
      <c r="IGE103" s="450"/>
      <c r="IGF103" s="450"/>
      <c r="IGG103" s="450"/>
      <c r="IGH103" s="450"/>
      <c r="IGI103" s="450"/>
      <c r="IGJ103" s="450"/>
      <c r="IGK103" s="450"/>
      <c r="IGL103" s="450"/>
      <c r="IGM103" s="450"/>
      <c r="IGN103" s="450"/>
      <c r="IGO103" s="450"/>
      <c r="IGP103" s="450"/>
      <c r="IGQ103" s="450"/>
      <c r="IGR103" s="450"/>
      <c r="IGS103" s="450"/>
      <c r="IGT103" s="450"/>
      <c r="IGU103" s="450"/>
      <c r="IGV103" s="450"/>
      <c r="IGW103" s="450"/>
      <c r="IGX103" s="450"/>
      <c r="IGY103" s="450"/>
      <c r="IGZ103" s="450"/>
      <c r="IHA103" s="450"/>
      <c r="IHB103" s="450"/>
      <c r="IHC103" s="450"/>
      <c r="IHD103" s="450"/>
      <c r="IHE103" s="450"/>
      <c r="IHF103" s="450"/>
      <c r="IHG103" s="450"/>
      <c r="IHH103" s="450"/>
      <c r="IHI103" s="450"/>
      <c r="IHJ103" s="450"/>
      <c r="IHK103" s="450"/>
      <c r="IHL103" s="450"/>
      <c r="IHM103" s="450"/>
      <c r="IHN103" s="450"/>
      <c r="IHO103" s="450"/>
      <c r="IHP103" s="450"/>
      <c r="IHQ103" s="450"/>
      <c r="IHR103" s="450"/>
      <c r="IHS103" s="450"/>
      <c r="IHT103" s="450"/>
      <c r="IHU103" s="450"/>
      <c r="IHV103" s="450"/>
      <c r="IHW103" s="450"/>
      <c r="IHX103" s="450"/>
      <c r="IHY103" s="450"/>
      <c r="IHZ103" s="450"/>
      <c r="IIA103" s="450"/>
      <c r="IIB103" s="450"/>
      <c r="IIC103" s="450"/>
      <c r="IID103" s="450"/>
      <c r="IIE103" s="450"/>
      <c r="IIF103" s="450"/>
      <c r="IIG103" s="450"/>
      <c r="IIH103" s="450"/>
      <c r="III103" s="450"/>
      <c r="IIJ103" s="450"/>
      <c r="IIK103" s="450"/>
      <c r="IIL103" s="450"/>
      <c r="IIM103" s="450"/>
      <c r="IIN103" s="450"/>
      <c r="IIO103" s="450"/>
      <c r="IIP103" s="450"/>
      <c r="IIQ103" s="450"/>
      <c r="IIR103" s="450"/>
      <c r="IIS103" s="450"/>
      <c r="IIT103" s="450"/>
      <c r="IIU103" s="450"/>
      <c r="IIV103" s="450"/>
      <c r="IIW103" s="450"/>
      <c r="IIX103" s="450"/>
      <c r="IIY103" s="450"/>
      <c r="IIZ103" s="450"/>
      <c r="IJA103" s="450"/>
      <c r="IJB103" s="450"/>
      <c r="IJC103" s="450"/>
      <c r="IJD103" s="450"/>
      <c r="IJE103" s="450"/>
      <c r="IJF103" s="450"/>
      <c r="IJG103" s="450"/>
      <c r="IJH103" s="450"/>
      <c r="IJI103" s="450"/>
      <c r="IJJ103" s="450"/>
      <c r="IJK103" s="450"/>
      <c r="IJL103" s="450"/>
      <c r="IJM103" s="450"/>
      <c r="IJN103" s="450"/>
      <c r="IJO103" s="450"/>
      <c r="IJP103" s="450"/>
      <c r="IJQ103" s="450"/>
      <c r="IJR103" s="450"/>
      <c r="IJS103" s="450"/>
      <c r="IJT103" s="450"/>
      <c r="IJU103" s="450"/>
      <c r="IJV103" s="450"/>
      <c r="IJW103" s="450"/>
      <c r="IJX103" s="450"/>
      <c r="IJY103" s="450"/>
      <c r="IJZ103" s="450"/>
      <c r="IKA103" s="450"/>
      <c r="IKB103" s="450"/>
      <c r="IKC103" s="450"/>
      <c r="IKD103" s="450"/>
      <c r="IKE103" s="450"/>
      <c r="IKF103" s="450"/>
      <c r="IKG103" s="450"/>
      <c r="IKH103" s="450"/>
      <c r="IKI103" s="450"/>
      <c r="IKJ103" s="450"/>
      <c r="IKK103" s="450"/>
      <c r="IKL103" s="450"/>
      <c r="IKM103" s="450"/>
      <c r="IKN103" s="450"/>
      <c r="IKO103" s="450"/>
      <c r="IKP103" s="450"/>
      <c r="IKQ103" s="450"/>
      <c r="IKR103" s="450"/>
      <c r="IKS103" s="450"/>
      <c r="IKT103" s="450"/>
      <c r="IKU103" s="450"/>
      <c r="IKV103" s="450"/>
      <c r="IKW103" s="450"/>
      <c r="IKX103" s="450"/>
      <c r="IKY103" s="450"/>
      <c r="IKZ103" s="450"/>
      <c r="ILA103" s="450"/>
      <c r="ILB103" s="450"/>
      <c r="ILC103" s="450"/>
      <c r="ILD103" s="450"/>
      <c r="ILE103" s="450"/>
      <c r="ILF103" s="450"/>
      <c r="ILG103" s="450"/>
      <c r="ILH103" s="450"/>
      <c r="ILI103" s="450"/>
      <c r="ILJ103" s="450"/>
      <c r="ILK103" s="450"/>
      <c r="ILL103" s="450"/>
      <c r="ILM103" s="450"/>
      <c r="ILN103" s="450"/>
      <c r="ILO103" s="450"/>
      <c r="ILP103" s="450"/>
      <c r="ILQ103" s="450"/>
      <c r="ILR103" s="450"/>
      <c r="ILS103" s="450"/>
      <c r="ILT103" s="450"/>
      <c r="ILU103" s="450"/>
      <c r="ILV103" s="450"/>
      <c r="ILW103" s="450"/>
      <c r="ILX103" s="450"/>
      <c r="ILY103" s="450"/>
      <c r="ILZ103" s="450"/>
      <c r="IMA103" s="450"/>
      <c r="IMB103" s="450"/>
      <c r="IMC103" s="450"/>
      <c r="IMD103" s="450"/>
      <c r="IME103" s="450"/>
      <c r="IMF103" s="450"/>
      <c r="IMG103" s="450"/>
      <c r="IMH103" s="450"/>
      <c r="IMI103" s="450"/>
      <c r="IMJ103" s="450"/>
      <c r="IMK103" s="450"/>
      <c r="IML103" s="450"/>
      <c r="IMM103" s="450"/>
      <c r="IMN103" s="450"/>
      <c r="IMO103" s="450"/>
      <c r="IMP103" s="450"/>
      <c r="IMQ103" s="450"/>
      <c r="IMR103" s="450"/>
      <c r="IMS103" s="450"/>
      <c r="IMT103" s="450"/>
      <c r="IMU103" s="450"/>
      <c r="IMV103" s="450"/>
      <c r="IMW103" s="450"/>
      <c r="IMX103" s="450"/>
      <c r="IMY103" s="450"/>
      <c r="IMZ103" s="450"/>
      <c r="INA103" s="450"/>
      <c r="INB103" s="450"/>
      <c r="INC103" s="450"/>
      <c r="IND103" s="450"/>
      <c r="INE103" s="450"/>
      <c r="INF103" s="450"/>
      <c r="ING103" s="450"/>
      <c r="INH103" s="450"/>
      <c r="INI103" s="450"/>
      <c r="INJ103" s="450"/>
      <c r="INK103" s="450"/>
      <c r="INL103" s="450"/>
      <c r="INM103" s="450"/>
      <c r="INN103" s="450"/>
      <c r="INO103" s="450"/>
      <c r="INP103" s="450"/>
      <c r="INQ103" s="450"/>
      <c r="INR103" s="450"/>
      <c r="INS103" s="450"/>
      <c r="INT103" s="450"/>
      <c r="INU103" s="450"/>
      <c r="INV103" s="450"/>
      <c r="INW103" s="450"/>
      <c r="INX103" s="450"/>
      <c r="INY103" s="450"/>
      <c r="INZ103" s="450"/>
      <c r="IOA103" s="450"/>
      <c r="IOB103" s="450"/>
      <c r="IOC103" s="450"/>
      <c r="IOD103" s="450"/>
      <c r="IOE103" s="450"/>
      <c r="IOF103" s="450"/>
      <c r="IOG103" s="450"/>
      <c r="IOH103" s="450"/>
      <c r="IOI103" s="450"/>
      <c r="IOJ103" s="450"/>
      <c r="IOK103" s="450"/>
      <c r="IOL103" s="450"/>
      <c r="IOM103" s="450"/>
      <c r="ION103" s="450"/>
      <c r="IOO103" s="450"/>
      <c r="IOP103" s="450"/>
      <c r="IOQ103" s="450"/>
      <c r="IOR103" s="450"/>
      <c r="IOS103" s="450"/>
      <c r="IOT103" s="450"/>
      <c r="IOU103" s="450"/>
      <c r="IOV103" s="450"/>
      <c r="IOW103" s="450"/>
      <c r="IOX103" s="450"/>
      <c r="IOY103" s="450"/>
      <c r="IOZ103" s="450"/>
      <c r="IPA103" s="450"/>
      <c r="IPB103" s="450"/>
      <c r="IPC103" s="450"/>
      <c r="IPD103" s="450"/>
      <c r="IPE103" s="450"/>
      <c r="IPF103" s="450"/>
      <c r="IPG103" s="450"/>
      <c r="IPH103" s="450"/>
      <c r="IPI103" s="450"/>
      <c r="IPJ103" s="450"/>
      <c r="IPK103" s="450"/>
      <c r="IPL103" s="450"/>
      <c r="IPM103" s="450"/>
      <c r="IPN103" s="450"/>
      <c r="IPO103" s="450"/>
      <c r="IPP103" s="450"/>
      <c r="IPQ103" s="450"/>
      <c r="IPR103" s="450"/>
      <c r="IPS103" s="450"/>
      <c r="IPT103" s="450"/>
      <c r="IPU103" s="450"/>
      <c r="IPV103" s="450"/>
      <c r="IPW103" s="450"/>
      <c r="IPX103" s="450"/>
      <c r="IPY103" s="450"/>
      <c r="IPZ103" s="450"/>
      <c r="IQA103" s="450"/>
      <c r="IQB103" s="450"/>
      <c r="IQC103" s="450"/>
      <c r="IQD103" s="450"/>
      <c r="IQE103" s="450"/>
      <c r="IQF103" s="450"/>
      <c r="IQG103" s="450"/>
      <c r="IQH103" s="450"/>
      <c r="IQI103" s="450"/>
      <c r="IQJ103" s="450"/>
      <c r="IQK103" s="450"/>
      <c r="IQL103" s="450"/>
      <c r="IQM103" s="450"/>
      <c r="IQN103" s="450"/>
      <c r="IQO103" s="450"/>
      <c r="IQP103" s="450"/>
      <c r="IQQ103" s="450"/>
      <c r="IQR103" s="450"/>
      <c r="IQS103" s="450"/>
      <c r="IQT103" s="450"/>
      <c r="IQU103" s="450"/>
      <c r="IQV103" s="450"/>
      <c r="IQW103" s="450"/>
      <c r="IQX103" s="450"/>
      <c r="IQY103" s="450"/>
      <c r="IQZ103" s="450"/>
      <c r="IRA103" s="450"/>
      <c r="IRB103" s="450"/>
      <c r="IRC103" s="450"/>
      <c r="IRD103" s="450"/>
      <c r="IRE103" s="450"/>
      <c r="IRF103" s="450"/>
      <c r="IRG103" s="450"/>
      <c r="IRH103" s="450"/>
      <c r="IRI103" s="450"/>
      <c r="IRJ103" s="450"/>
      <c r="IRK103" s="450"/>
      <c r="IRL103" s="450"/>
      <c r="IRM103" s="450"/>
      <c r="IRN103" s="450"/>
      <c r="IRO103" s="450"/>
      <c r="IRP103" s="450"/>
      <c r="IRQ103" s="450"/>
      <c r="IRR103" s="450"/>
      <c r="IRS103" s="450"/>
      <c r="IRT103" s="450"/>
      <c r="IRU103" s="450"/>
      <c r="IRV103" s="450"/>
      <c r="IRW103" s="450"/>
      <c r="IRX103" s="450"/>
      <c r="IRY103" s="450"/>
      <c r="IRZ103" s="450"/>
      <c r="ISA103" s="450"/>
      <c r="ISB103" s="450"/>
      <c r="ISC103" s="450"/>
      <c r="ISD103" s="450"/>
      <c r="ISE103" s="450"/>
      <c r="ISF103" s="450"/>
      <c r="ISG103" s="450"/>
      <c r="ISH103" s="450"/>
      <c r="ISI103" s="450"/>
      <c r="ISJ103" s="450"/>
      <c r="ISK103" s="450"/>
      <c r="ISL103" s="450"/>
      <c r="ISM103" s="450"/>
      <c r="ISN103" s="450"/>
      <c r="ISO103" s="450"/>
      <c r="ISP103" s="450"/>
      <c r="ISQ103" s="450"/>
      <c r="ISR103" s="450"/>
      <c r="ISS103" s="450"/>
      <c r="IST103" s="450"/>
      <c r="ISU103" s="450"/>
      <c r="ISV103" s="450"/>
      <c r="ISW103" s="450"/>
      <c r="ISX103" s="450"/>
      <c r="ISY103" s="450"/>
      <c r="ISZ103" s="450"/>
      <c r="ITA103" s="450"/>
      <c r="ITB103" s="450"/>
      <c r="ITC103" s="450"/>
      <c r="ITD103" s="450"/>
      <c r="ITE103" s="450"/>
      <c r="ITF103" s="450"/>
      <c r="ITG103" s="450"/>
      <c r="ITH103" s="450"/>
      <c r="ITI103" s="450"/>
      <c r="ITJ103" s="450"/>
      <c r="ITK103" s="450"/>
      <c r="ITL103" s="450"/>
      <c r="ITM103" s="450"/>
      <c r="ITN103" s="450"/>
      <c r="ITO103" s="450"/>
      <c r="ITP103" s="450"/>
      <c r="ITQ103" s="450"/>
      <c r="ITR103" s="450"/>
      <c r="ITS103" s="450"/>
      <c r="ITT103" s="450"/>
      <c r="ITU103" s="450"/>
      <c r="ITV103" s="450"/>
      <c r="ITW103" s="450"/>
      <c r="ITX103" s="450"/>
      <c r="ITY103" s="450"/>
      <c r="ITZ103" s="450"/>
      <c r="IUA103" s="450"/>
      <c r="IUB103" s="450"/>
      <c r="IUC103" s="450"/>
      <c r="IUD103" s="450"/>
      <c r="IUE103" s="450"/>
      <c r="IUF103" s="450"/>
      <c r="IUG103" s="450"/>
      <c r="IUH103" s="450"/>
      <c r="IUI103" s="450"/>
      <c r="IUJ103" s="450"/>
      <c r="IUK103" s="450"/>
      <c r="IUL103" s="450"/>
      <c r="IUM103" s="450"/>
      <c r="IUN103" s="450"/>
      <c r="IUO103" s="450"/>
      <c r="IUP103" s="450"/>
      <c r="IUQ103" s="450"/>
      <c r="IUR103" s="450"/>
      <c r="IUS103" s="450"/>
      <c r="IUT103" s="450"/>
      <c r="IUU103" s="450"/>
      <c r="IUV103" s="450"/>
      <c r="IUW103" s="450"/>
      <c r="IUX103" s="450"/>
      <c r="IUY103" s="450"/>
      <c r="IUZ103" s="450"/>
      <c r="IVA103" s="450"/>
      <c r="IVB103" s="450"/>
      <c r="IVC103" s="450"/>
      <c r="IVD103" s="450"/>
      <c r="IVE103" s="450"/>
      <c r="IVF103" s="450"/>
      <c r="IVG103" s="450"/>
      <c r="IVH103" s="450"/>
      <c r="IVI103" s="450"/>
      <c r="IVJ103" s="450"/>
      <c r="IVK103" s="450"/>
      <c r="IVL103" s="450"/>
      <c r="IVM103" s="450"/>
      <c r="IVN103" s="450"/>
      <c r="IVO103" s="450"/>
      <c r="IVP103" s="450"/>
      <c r="IVQ103" s="450"/>
      <c r="IVR103" s="450"/>
      <c r="IVS103" s="450"/>
      <c r="IVT103" s="450"/>
      <c r="IVU103" s="450"/>
      <c r="IVV103" s="450"/>
      <c r="IVW103" s="450"/>
      <c r="IVX103" s="450"/>
      <c r="IVY103" s="450"/>
      <c r="IVZ103" s="450"/>
      <c r="IWA103" s="450"/>
      <c r="IWB103" s="450"/>
      <c r="IWC103" s="450"/>
      <c r="IWD103" s="450"/>
      <c r="IWE103" s="450"/>
      <c r="IWF103" s="450"/>
      <c r="IWG103" s="450"/>
      <c r="IWH103" s="450"/>
      <c r="IWI103" s="450"/>
      <c r="IWJ103" s="450"/>
      <c r="IWK103" s="450"/>
      <c r="IWL103" s="450"/>
      <c r="IWM103" s="450"/>
      <c r="IWN103" s="450"/>
      <c r="IWO103" s="450"/>
      <c r="IWP103" s="450"/>
      <c r="IWQ103" s="450"/>
      <c r="IWR103" s="450"/>
      <c r="IWS103" s="450"/>
      <c r="IWT103" s="450"/>
      <c r="IWU103" s="450"/>
      <c r="IWV103" s="450"/>
      <c r="IWW103" s="450"/>
      <c r="IWX103" s="450"/>
      <c r="IWY103" s="450"/>
      <c r="IWZ103" s="450"/>
      <c r="IXA103" s="450"/>
      <c r="IXB103" s="450"/>
      <c r="IXC103" s="450"/>
      <c r="IXD103" s="450"/>
      <c r="IXE103" s="450"/>
      <c r="IXF103" s="450"/>
      <c r="IXG103" s="450"/>
      <c r="IXH103" s="450"/>
      <c r="IXI103" s="450"/>
      <c r="IXJ103" s="450"/>
      <c r="IXK103" s="450"/>
      <c r="IXL103" s="450"/>
      <c r="IXM103" s="450"/>
      <c r="IXN103" s="450"/>
      <c r="IXO103" s="450"/>
      <c r="IXP103" s="450"/>
      <c r="IXQ103" s="450"/>
      <c r="IXR103" s="450"/>
      <c r="IXS103" s="450"/>
      <c r="IXT103" s="450"/>
      <c r="IXU103" s="450"/>
      <c r="IXV103" s="450"/>
      <c r="IXW103" s="450"/>
      <c r="IXX103" s="450"/>
      <c r="IXY103" s="450"/>
      <c r="IXZ103" s="450"/>
      <c r="IYA103" s="450"/>
      <c r="IYB103" s="450"/>
      <c r="IYC103" s="450"/>
      <c r="IYD103" s="450"/>
      <c r="IYE103" s="450"/>
      <c r="IYF103" s="450"/>
      <c r="IYG103" s="450"/>
      <c r="IYH103" s="450"/>
      <c r="IYI103" s="450"/>
      <c r="IYJ103" s="450"/>
      <c r="IYK103" s="450"/>
      <c r="IYL103" s="450"/>
      <c r="IYM103" s="450"/>
      <c r="IYN103" s="450"/>
      <c r="IYO103" s="450"/>
      <c r="IYP103" s="450"/>
      <c r="IYQ103" s="450"/>
      <c r="IYR103" s="450"/>
      <c r="IYS103" s="450"/>
      <c r="IYT103" s="450"/>
      <c r="IYU103" s="450"/>
      <c r="IYV103" s="450"/>
      <c r="IYW103" s="450"/>
      <c r="IYX103" s="450"/>
      <c r="IYY103" s="450"/>
      <c r="IYZ103" s="450"/>
      <c r="IZA103" s="450"/>
      <c r="IZB103" s="450"/>
      <c r="IZC103" s="450"/>
      <c r="IZD103" s="450"/>
      <c r="IZE103" s="450"/>
      <c r="IZF103" s="450"/>
      <c r="IZG103" s="450"/>
      <c r="IZH103" s="450"/>
      <c r="IZI103" s="450"/>
      <c r="IZJ103" s="450"/>
      <c r="IZK103" s="450"/>
      <c r="IZL103" s="450"/>
      <c r="IZM103" s="450"/>
      <c r="IZN103" s="450"/>
      <c r="IZO103" s="450"/>
      <c r="IZP103" s="450"/>
      <c r="IZQ103" s="450"/>
      <c r="IZR103" s="450"/>
      <c r="IZS103" s="450"/>
      <c r="IZT103" s="450"/>
      <c r="IZU103" s="450"/>
      <c r="IZV103" s="450"/>
      <c r="IZW103" s="450"/>
      <c r="IZX103" s="450"/>
      <c r="IZY103" s="450"/>
      <c r="IZZ103" s="450"/>
      <c r="JAA103" s="450"/>
      <c r="JAB103" s="450"/>
      <c r="JAC103" s="450"/>
      <c r="JAD103" s="450"/>
      <c r="JAE103" s="450"/>
      <c r="JAF103" s="450"/>
      <c r="JAG103" s="450"/>
      <c r="JAH103" s="450"/>
      <c r="JAI103" s="450"/>
      <c r="JAJ103" s="450"/>
      <c r="JAK103" s="450"/>
      <c r="JAL103" s="450"/>
      <c r="JAM103" s="450"/>
      <c r="JAN103" s="450"/>
      <c r="JAO103" s="450"/>
      <c r="JAP103" s="450"/>
      <c r="JAQ103" s="450"/>
      <c r="JAR103" s="450"/>
      <c r="JAS103" s="450"/>
      <c r="JAT103" s="450"/>
      <c r="JAU103" s="450"/>
      <c r="JAV103" s="450"/>
      <c r="JAW103" s="450"/>
      <c r="JAX103" s="450"/>
      <c r="JAY103" s="450"/>
      <c r="JAZ103" s="450"/>
      <c r="JBA103" s="450"/>
      <c r="JBB103" s="450"/>
      <c r="JBC103" s="450"/>
      <c r="JBD103" s="450"/>
      <c r="JBE103" s="450"/>
      <c r="JBF103" s="450"/>
      <c r="JBG103" s="450"/>
      <c r="JBH103" s="450"/>
      <c r="JBI103" s="450"/>
      <c r="JBJ103" s="450"/>
      <c r="JBK103" s="450"/>
      <c r="JBL103" s="450"/>
      <c r="JBM103" s="450"/>
      <c r="JBN103" s="450"/>
      <c r="JBO103" s="450"/>
      <c r="JBP103" s="450"/>
      <c r="JBQ103" s="450"/>
      <c r="JBR103" s="450"/>
      <c r="JBS103" s="450"/>
      <c r="JBT103" s="450"/>
      <c r="JBU103" s="450"/>
      <c r="JBV103" s="450"/>
      <c r="JBW103" s="450"/>
      <c r="JBX103" s="450"/>
      <c r="JBY103" s="450"/>
      <c r="JBZ103" s="450"/>
      <c r="JCA103" s="450"/>
      <c r="JCB103" s="450"/>
      <c r="JCC103" s="450"/>
      <c r="JCD103" s="450"/>
      <c r="JCE103" s="450"/>
      <c r="JCF103" s="450"/>
      <c r="JCG103" s="450"/>
      <c r="JCH103" s="450"/>
      <c r="JCI103" s="450"/>
      <c r="JCJ103" s="450"/>
      <c r="JCK103" s="450"/>
      <c r="JCL103" s="450"/>
      <c r="JCM103" s="450"/>
      <c r="JCN103" s="450"/>
      <c r="JCO103" s="450"/>
      <c r="JCP103" s="450"/>
      <c r="JCQ103" s="450"/>
      <c r="JCR103" s="450"/>
      <c r="JCS103" s="450"/>
      <c r="JCT103" s="450"/>
      <c r="JCU103" s="450"/>
      <c r="JCV103" s="450"/>
      <c r="JCW103" s="450"/>
      <c r="JCX103" s="450"/>
      <c r="JCY103" s="450"/>
      <c r="JCZ103" s="450"/>
      <c r="JDA103" s="450"/>
      <c r="JDB103" s="450"/>
      <c r="JDC103" s="450"/>
      <c r="JDD103" s="450"/>
      <c r="JDE103" s="450"/>
      <c r="JDF103" s="450"/>
      <c r="JDG103" s="450"/>
      <c r="JDH103" s="450"/>
      <c r="JDI103" s="450"/>
      <c r="JDJ103" s="450"/>
      <c r="JDK103" s="450"/>
      <c r="JDL103" s="450"/>
      <c r="JDM103" s="450"/>
      <c r="JDN103" s="450"/>
      <c r="JDO103" s="450"/>
      <c r="JDP103" s="450"/>
      <c r="JDQ103" s="450"/>
      <c r="JDR103" s="450"/>
      <c r="JDS103" s="450"/>
      <c r="JDT103" s="450"/>
      <c r="JDU103" s="450"/>
      <c r="JDV103" s="450"/>
      <c r="JDW103" s="450"/>
      <c r="JDX103" s="450"/>
      <c r="JDY103" s="450"/>
      <c r="JDZ103" s="450"/>
      <c r="JEA103" s="450"/>
      <c r="JEB103" s="450"/>
      <c r="JEC103" s="450"/>
      <c r="JED103" s="450"/>
      <c r="JEE103" s="450"/>
      <c r="JEF103" s="450"/>
      <c r="JEG103" s="450"/>
      <c r="JEH103" s="450"/>
      <c r="JEI103" s="450"/>
      <c r="JEJ103" s="450"/>
      <c r="JEK103" s="450"/>
      <c r="JEL103" s="450"/>
      <c r="JEM103" s="450"/>
      <c r="JEN103" s="450"/>
      <c r="JEO103" s="450"/>
      <c r="JEP103" s="450"/>
      <c r="JEQ103" s="450"/>
      <c r="JER103" s="450"/>
      <c r="JES103" s="450"/>
      <c r="JET103" s="450"/>
      <c r="JEU103" s="450"/>
      <c r="JEV103" s="450"/>
      <c r="JEW103" s="450"/>
      <c r="JEX103" s="450"/>
      <c r="JEY103" s="450"/>
      <c r="JEZ103" s="450"/>
      <c r="JFA103" s="450"/>
      <c r="JFB103" s="450"/>
      <c r="JFC103" s="450"/>
      <c r="JFD103" s="450"/>
      <c r="JFE103" s="450"/>
      <c r="JFF103" s="450"/>
      <c r="JFG103" s="450"/>
      <c r="JFH103" s="450"/>
      <c r="JFI103" s="450"/>
      <c r="JFJ103" s="450"/>
      <c r="JFK103" s="450"/>
      <c r="JFL103" s="450"/>
      <c r="JFM103" s="450"/>
      <c r="JFN103" s="450"/>
      <c r="JFO103" s="450"/>
      <c r="JFP103" s="450"/>
      <c r="JFQ103" s="450"/>
      <c r="JFR103" s="450"/>
      <c r="JFS103" s="450"/>
      <c r="JFT103" s="450"/>
      <c r="JFU103" s="450"/>
      <c r="JFV103" s="450"/>
      <c r="JFW103" s="450"/>
      <c r="JFX103" s="450"/>
      <c r="JFY103" s="450"/>
      <c r="JFZ103" s="450"/>
      <c r="JGA103" s="450"/>
      <c r="JGB103" s="450"/>
      <c r="JGC103" s="450"/>
      <c r="JGD103" s="450"/>
      <c r="JGE103" s="450"/>
      <c r="JGF103" s="450"/>
      <c r="JGG103" s="450"/>
      <c r="JGH103" s="450"/>
      <c r="JGI103" s="450"/>
      <c r="JGJ103" s="450"/>
      <c r="JGK103" s="450"/>
      <c r="JGL103" s="450"/>
      <c r="JGM103" s="450"/>
      <c r="JGN103" s="450"/>
      <c r="JGO103" s="450"/>
      <c r="JGP103" s="450"/>
      <c r="JGQ103" s="450"/>
      <c r="JGR103" s="450"/>
      <c r="JGS103" s="450"/>
      <c r="JGT103" s="450"/>
      <c r="JGU103" s="450"/>
      <c r="JGV103" s="450"/>
      <c r="JGW103" s="450"/>
      <c r="JGX103" s="450"/>
      <c r="JGY103" s="450"/>
      <c r="JGZ103" s="450"/>
      <c r="JHA103" s="450"/>
      <c r="JHB103" s="450"/>
      <c r="JHC103" s="450"/>
      <c r="JHD103" s="450"/>
      <c r="JHE103" s="450"/>
      <c r="JHF103" s="450"/>
      <c r="JHG103" s="450"/>
      <c r="JHH103" s="450"/>
      <c r="JHI103" s="450"/>
      <c r="JHJ103" s="450"/>
      <c r="JHK103" s="450"/>
      <c r="JHL103" s="450"/>
      <c r="JHM103" s="450"/>
      <c r="JHN103" s="450"/>
      <c r="JHO103" s="450"/>
      <c r="JHP103" s="450"/>
      <c r="JHQ103" s="450"/>
      <c r="JHR103" s="450"/>
      <c r="JHS103" s="450"/>
      <c r="JHT103" s="450"/>
      <c r="JHU103" s="450"/>
      <c r="JHV103" s="450"/>
      <c r="JHW103" s="450"/>
      <c r="JHX103" s="450"/>
      <c r="JHY103" s="450"/>
      <c r="JHZ103" s="450"/>
      <c r="JIA103" s="450"/>
      <c r="JIB103" s="450"/>
      <c r="JIC103" s="450"/>
      <c r="JID103" s="450"/>
      <c r="JIE103" s="450"/>
      <c r="JIF103" s="450"/>
      <c r="JIG103" s="450"/>
      <c r="JIH103" s="450"/>
      <c r="JII103" s="450"/>
      <c r="JIJ103" s="450"/>
      <c r="JIK103" s="450"/>
      <c r="JIL103" s="450"/>
      <c r="JIM103" s="450"/>
      <c r="JIN103" s="450"/>
      <c r="JIO103" s="450"/>
      <c r="JIP103" s="450"/>
      <c r="JIQ103" s="450"/>
      <c r="JIR103" s="450"/>
      <c r="JIS103" s="450"/>
      <c r="JIT103" s="450"/>
      <c r="JIU103" s="450"/>
      <c r="JIV103" s="450"/>
      <c r="JIW103" s="450"/>
      <c r="JIX103" s="450"/>
      <c r="JIY103" s="450"/>
      <c r="JIZ103" s="450"/>
      <c r="JJA103" s="450"/>
      <c r="JJB103" s="450"/>
      <c r="JJC103" s="450"/>
      <c r="JJD103" s="450"/>
      <c r="JJE103" s="450"/>
      <c r="JJF103" s="450"/>
      <c r="JJG103" s="450"/>
      <c r="JJH103" s="450"/>
      <c r="JJI103" s="450"/>
      <c r="JJJ103" s="450"/>
      <c r="JJK103" s="450"/>
      <c r="JJL103" s="450"/>
      <c r="JJM103" s="450"/>
      <c r="JJN103" s="450"/>
      <c r="JJO103" s="450"/>
      <c r="JJP103" s="450"/>
      <c r="JJQ103" s="450"/>
      <c r="JJR103" s="450"/>
      <c r="JJS103" s="450"/>
      <c r="JJT103" s="450"/>
      <c r="JJU103" s="450"/>
      <c r="JJV103" s="450"/>
      <c r="JJW103" s="450"/>
      <c r="JJX103" s="450"/>
      <c r="JJY103" s="450"/>
      <c r="JJZ103" s="450"/>
      <c r="JKA103" s="450"/>
      <c r="JKB103" s="450"/>
      <c r="JKC103" s="450"/>
      <c r="JKD103" s="450"/>
      <c r="JKE103" s="450"/>
      <c r="JKF103" s="450"/>
      <c r="JKG103" s="450"/>
      <c r="JKH103" s="450"/>
      <c r="JKI103" s="450"/>
      <c r="JKJ103" s="450"/>
      <c r="JKK103" s="450"/>
      <c r="JKL103" s="450"/>
      <c r="JKM103" s="450"/>
      <c r="JKN103" s="450"/>
      <c r="JKO103" s="450"/>
      <c r="JKP103" s="450"/>
      <c r="JKQ103" s="450"/>
      <c r="JKR103" s="450"/>
      <c r="JKS103" s="450"/>
      <c r="JKT103" s="450"/>
      <c r="JKU103" s="450"/>
      <c r="JKV103" s="450"/>
      <c r="JKW103" s="450"/>
      <c r="JKX103" s="450"/>
      <c r="JKY103" s="450"/>
      <c r="JKZ103" s="450"/>
      <c r="JLA103" s="450"/>
      <c r="JLB103" s="450"/>
      <c r="JLC103" s="450"/>
      <c r="JLD103" s="450"/>
      <c r="JLE103" s="450"/>
      <c r="JLF103" s="450"/>
      <c r="JLG103" s="450"/>
      <c r="JLH103" s="450"/>
      <c r="JLI103" s="450"/>
      <c r="JLJ103" s="450"/>
      <c r="JLK103" s="450"/>
      <c r="JLL103" s="450"/>
      <c r="JLM103" s="450"/>
      <c r="JLN103" s="450"/>
      <c r="JLO103" s="450"/>
      <c r="JLP103" s="450"/>
      <c r="JLQ103" s="450"/>
      <c r="JLR103" s="450"/>
      <c r="JLS103" s="450"/>
      <c r="JLT103" s="450"/>
      <c r="JLU103" s="450"/>
      <c r="JLV103" s="450"/>
      <c r="JLW103" s="450"/>
      <c r="JLX103" s="450"/>
      <c r="JLY103" s="450"/>
      <c r="JLZ103" s="450"/>
      <c r="JMA103" s="450"/>
      <c r="JMB103" s="450"/>
      <c r="JMC103" s="450"/>
      <c r="JMD103" s="450"/>
      <c r="JME103" s="450"/>
      <c r="JMF103" s="450"/>
      <c r="JMG103" s="450"/>
      <c r="JMH103" s="450"/>
      <c r="JMI103" s="450"/>
      <c r="JMJ103" s="450"/>
      <c r="JMK103" s="450"/>
      <c r="JML103" s="450"/>
      <c r="JMM103" s="450"/>
      <c r="JMN103" s="450"/>
      <c r="JMO103" s="450"/>
      <c r="JMP103" s="450"/>
      <c r="JMQ103" s="450"/>
      <c r="JMR103" s="450"/>
      <c r="JMS103" s="450"/>
      <c r="JMT103" s="450"/>
      <c r="JMU103" s="450"/>
      <c r="JMV103" s="450"/>
      <c r="JMW103" s="450"/>
      <c r="JMX103" s="450"/>
      <c r="JMY103" s="450"/>
      <c r="JMZ103" s="450"/>
      <c r="JNA103" s="450"/>
      <c r="JNB103" s="450"/>
      <c r="JNC103" s="450"/>
      <c r="JND103" s="450"/>
      <c r="JNE103" s="450"/>
      <c r="JNF103" s="450"/>
      <c r="JNG103" s="450"/>
      <c r="JNH103" s="450"/>
      <c r="JNI103" s="450"/>
      <c r="JNJ103" s="450"/>
      <c r="JNK103" s="450"/>
      <c r="JNL103" s="450"/>
      <c r="JNM103" s="450"/>
      <c r="JNN103" s="450"/>
      <c r="JNO103" s="450"/>
      <c r="JNP103" s="450"/>
      <c r="JNQ103" s="450"/>
      <c r="JNR103" s="450"/>
      <c r="JNS103" s="450"/>
      <c r="JNT103" s="450"/>
      <c r="JNU103" s="450"/>
      <c r="JNV103" s="450"/>
      <c r="JNW103" s="450"/>
      <c r="JNX103" s="450"/>
      <c r="JNY103" s="450"/>
      <c r="JNZ103" s="450"/>
      <c r="JOA103" s="450"/>
      <c r="JOB103" s="450"/>
      <c r="JOC103" s="450"/>
      <c r="JOD103" s="450"/>
      <c r="JOE103" s="450"/>
      <c r="JOF103" s="450"/>
      <c r="JOG103" s="450"/>
      <c r="JOH103" s="450"/>
      <c r="JOI103" s="450"/>
      <c r="JOJ103" s="450"/>
      <c r="JOK103" s="450"/>
      <c r="JOL103" s="450"/>
      <c r="JOM103" s="450"/>
      <c r="JON103" s="450"/>
      <c r="JOO103" s="450"/>
      <c r="JOP103" s="450"/>
      <c r="JOQ103" s="450"/>
      <c r="JOR103" s="450"/>
      <c r="JOS103" s="450"/>
      <c r="JOT103" s="450"/>
      <c r="JOU103" s="450"/>
      <c r="JOV103" s="450"/>
      <c r="JOW103" s="450"/>
      <c r="JOX103" s="450"/>
      <c r="JOY103" s="450"/>
      <c r="JOZ103" s="450"/>
      <c r="JPA103" s="450"/>
      <c r="JPB103" s="450"/>
      <c r="JPC103" s="450"/>
      <c r="JPD103" s="450"/>
      <c r="JPE103" s="450"/>
      <c r="JPF103" s="450"/>
      <c r="JPG103" s="450"/>
      <c r="JPH103" s="450"/>
      <c r="JPI103" s="450"/>
      <c r="JPJ103" s="450"/>
      <c r="JPK103" s="450"/>
      <c r="JPL103" s="450"/>
      <c r="JPM103" s="450"/>
      <c r="JPN103" s="450"/>
      <c r="JPO103" s="450"/>
      <c r="JPP103" s="450"/>
      <c r="JPQ103" s="450"/>
      <c r="JPR103" s="450"/>
      <c r="JPS103" s="450"/>
      <c r="JPT103" s="450"/>
      <c r="JPU103" s="450"/>
      <c r="JPV103" s="450"/>
      <c r="JPW103" s="450"/>
      <c r="JPX103" s="450"/>
      <c r="JPY103" s="450"/>
      <c r="JPZ103" s="450"/>
      <c r="JQA103" s="450"/>
      <c r="JQB103" s="450"/>
      <c r="JQC103" s="450"/>
      <c r="JQD103" s="450"/>
      <c r="JQE103" s="450"/>
      <c r="JQF103" s="450"/>
      <c r="JQG103" s="450"/>
      <c r="JQH103" s="450"/>
      <c r="JQI103" s="450"/>
      <c r="JQJ103" s="450"/>
      <c r="JQK103" s="450"/>
      <c r="JQL103" s="450"/>
      <c r="JQM103" s="450"/>
      <c r="JQN103" s="450"/>
      <c r="JQO103" s="450"/>
      <c r="JQP103" s="450"/>
      <c r="JQQ103" s="450"/>
      <c r="JQR103" s="450"/>
      <c r="JQS103" s="450"/>
      <c r="JQT103" s="450"/>
      <c r="JQU103" s="450"/>
      <c r="JQV103" s="450"/>
      <c r="JQW103" s="450"/>
      <c r="JQX103" s="450"/>
      <c r="JQY103" s="450"/>
      <c r="JQZ103" s="450"/>
      <c r="JRA103" s="450"/>
      <c r="JRB103" s="450"/>
      <c r="JRC103" s="450"/>
      <c r="JRD103" s="450"/>
      <c r="JRE103" s="450"/>
      <c r="JRF103" s="450"/>
      <c r="JRG103" s="450"/>
      <c r="JRH103" s="450"/>
      <c r="JRI103" s="450"/>
      <c r="JRJ103" s="450"/>
      <c r="JRK103" s="450"/>
      <c r="JRL103" s="450"/>
      <c r="JRM103" s="450"/>
      <c r="JRN103" s="450"/>
      <c r="JRO103" s="450"/>
      <c r="JRP103" s="450"/>
      <c r="JRQ103" s="450"/>
      <c r="JRR103" s="450"/>
      <c r="JRS103" s="450"/>
      <c r="JRT103" s="450"/>
      <c r="JRU103" s="450"/>
      <c r="JRV103" s="450"/>
      <c r="JRW103" s="450"/>
      <c r="JRX103" s="450"/>
      <c r="JRY103" s="450"/>
      <c r="JRZ103" s="450"/>
      <c r="JSA103" s="450"/>
      <c r="JSB103" s="450"/>
      <c r="JSC103" s="450"/>
      <c r="JSD103" s="450"/>
      <c r="JSE103" s="450"/>
      <c r="JSF103" s="450"/>
      <c r="JSG103" s="450"/>
      <c r="JSH103" s="450"/>
      <c r="JSI103" s="450"/>
      <c r="JSJ103" s="450"/>
      <c r="JSK103" s="450"/>
      <c r="JSL103" s="450"/>
      <c r="JSM103" s="450"/>
      <c r="JSN103" s="450"/>
      <c r="JSO103" s="450"/>
      <c r="JSP103" s="450"/>
      <c r="JSQ103" s="450"/>
      <c r="JSR103" s="450"/>
      <c r="JSS103" s="450"/>
      <c r="JST103" s="450"/>
      <c r="JSU103" s="450"/>
      <c r="JSV103" s="450"/>
      <c r="JSW103" s="450"/>
      <c r="JSX103" s="450"/>
      <c r="JSY103" s="450"/>
      <c r="JSZ103" s="450"/>
      <c r="JTA103" s="450"/>
      <c r="JTB103" s="450"/>
      <c r="JTC103" s="450"/>
      <c r="JTD103" s="450"/>
      <c r="JTE103" s="450"/>
      <c r="JTF103" s="450"/>
      <c r="JTG103" s="450"/>
      <c r="JTH103" s="450"/>
      <c r="JTI103" s="450"/>
      <c r="JTJ103" s="450"/>
      <c r="JTK103" s="450"/>
      <c r="JTL103" s="450"/>
      <c r="JTM103" s="450"/>
      <c r="JTN103" s="450"/>
      <c r="JTO103" s="450"/>
      <c r="JTP103" s="450"/>
      <c r="JTQ103" s="450"/>
      <c r="JTR103" s="450"/>
      <c r="JTS103" s="450"/>
      <c r="JTT103" s="450"/>
      <c r="JTU103" s="450"/>
      <c r="JTV103" s="450"/>
      <c r="JTW103" s="450"/>
      <c r="JTX103" s="450"/>
      <c r="JTY103" s="450"/>
      <c r="JTZ103" s="450"/>
      <c r="JUA103" s="450"/>
      <c r="JUB103" s="450"/>
      <c r="JUC103" s="450"/>
      <c r="JUD103" s="450"/>
      <c r="JUE103" s="450"/>
      <c r="JUF103" s="450"/>
      <c r="JUG103" s="450"/>
      <c r="JUH103" s="450"/>
      <c r="JUI103" s="450"/>
      <c r="JUJ103" s="450"/>
      <c r="JUK103" s="450"/>
      <c r="JUL103" s="450"/>
      <c r="JUM103" s="450"/>
      <c r="JUN103" s="450"/>
      <c r="JUO103" s="450"/>
      <c r="JUP103" s="450"/>
      <c r="JUQ103" s="450"/>
      <c r="JUR103" s="450"/>
      <c r="JUS103" s="450"/>
      <c r="JUT103" s="450"/>
      <c r="JUU103" s="450"/>
      <c r="JUV103" s="450"/>
      <c r="JUW103" s="450"/>
      <c r="JUX103" s="450"/>
      <c r="JUY103" s="450"/>
      <c r="JUZ103" s="450"/>
      <c r="JVA103" s="450"/>
      <c r="JVB103" s="450"/>
      <c r="JVC103" s="450"/>
      <c r="JVD103" s="450"/>
      <c r="JVE103" s="450"/>
      <c r="JVF103" s="450"/>
      <c r="JVG103" s="450"/>
      <c r="JVH103" s="450"/>
      <c r="JVI103" s="450"/>
      <c r="JVJ103" s="450"/>
      <c r="JVK103" s="450"/>
      <c r="JVL103" s="450"/>
      <c r="JVM103" s="450"/>
      <c r="JVN103" s="450"/>
      <c r="JVO103" s="450"/>
      <c r="JVP103" s="450"/>
      <c r="JVQ103" s="450"/>
      <c r="JVR103" s="450"/>
      <c r="JVS103" s="450"/>
      <c r="JVT103" s="450"/>
      <c r="JVU103" s="450"/>
      <c r="JVV103" s="450"/>
      <c r="JVW103" s="450"/>
      <c r="JVX103" s="450"/>
      <c r="JVY103" s="450"/>
      <c r="JVZ103" s="450"/>
      <c r="JWA103" s="450"/>
      <c r="JWB103" s="450"/>
      <c r="JWC103" s="450"/>
      <c r="JWD103" s="450"/>
      <c r="JWE103" s="450"/>
      <c r="JWF103" s="450"/>
      <c r="JWG103" s="450"/>
      <c r="JWH103" s="450"/>
      <c r="JWI103" s="450"/>
      <c r="JWJ103" s="450"/>
      <c r="JWK103" s="450"/>
      <c r="JWL103" s="450"/>
      <c r="JWM103" s="450"/>
      <c r="JWN103" s="450"/>
      <c r="JWO103" s="450"/>
      <c r="JWP103" s="450"/>
      <c r="JWQ103" s="450"/>
      <c r="JWR103" s="450"/>
      <c r="JWS103" s="450"/>
      <c r="JWT103" s="450"/>
      <c r="JWU103" s="450"/>
      <c r="JWV103" s="450"/>
      <c r="JWW103" s="450"/>
      <c r="JWX103" s="450"/>
      <c r="JWY103" s="450"/>
      <c r="JWZ103" s="450"/>
      <c r="JXA103" s="450"/>
      <c r="JXB103" s="450"/>
      <c r="JXC103" s="450"/>
      <c r="JXD103" s="450"/>
      <c r="JXE103" s="450"/>
      <c r="JXF103" s="450"/>
      <c r="JXG103" s="450"/>
      <c r="JXH103" s="450"/>
      <c r="JXI103" s="450"/>
      <c r="JXJ103" s="450"/>
      <c r="JXK103" s="450"/>
      <c r="JXL103" s="450"/>
      <c r="JXM103" s="450"/>
      <c r="JXN103" s="450"/>
      <c r="JXO103" s="450"/>
      <c r="JXP103" s="450"/>
      <c r="JXQ103" s="450"/>
      <c r="JXR103" s="450"/>
      <c r="JXS103" s="450"/>
      <c r="JXT103" s="450"/>
      <c r="JXU103" s="450"/>
      <c r="JXV103" s="450"/>
      <c r="JXW103" s="450"/>
      <c r="JXX103" s="450"/>
      <c r="JXY103" s="450"/>
      <c r="JXZ103" s="450"/>
      <c r="JYA103" s="450"/>
      <c r="JYB103" s="450"/>
      <c r="JYC103" s="450"/>
      <c r="JYD103" s="450"/>
      <c r="JYE103" s="450"/>
      <c r="JYF103" s="450"/>
      <c r="JYG103" s="450"/>
      <c r="JYH103" s="450"/>
      <c r="JYI103" s="450"/>
      <c r="JYJ103" s="450"/>
      <c r="JYK103" s="450"/>
      <c r="JYL103" s="450"/>
      <c r="JYM103" s="450"/>
      <c r="JYN103" s="450"/>
      <c r="JYO103" s="450"/>
      <c r="JYP103" s="450"/>
      <c r="JYQ103" s="450"/>
      <c r="JYR103" s="450"/>
      <c r="JYS103" s="450"/>
      <c r="JYT103" s="450"/>
      <c r="JYU103" s="450"/>
      <c r="JYV103" s="450"/>
      <c r="JYW103" s="450"/>
      <c r="JYX103" s="450"/>
      <c r="JYY103" s="450"/>
      <c r="JYZ103" s="450"/>
      <c r="JZA103" s="450"/>
      <c r="JZB103" s="450"/>
      <c r="JZC103" s="450"/>
      <c r="JZD103" s="450"/>
      <c r="JZE103" s="450"/>
      <c r="JZF103" s="450"/>
      <c r="JZG103" s="450"/>
      <c r="JZH103" s="450"/>
      <c r="JZI103" s="450"/>
      <c r="JZJ103" s="450"/>
      <c r="JZK103" s="450"/>
      <c r="JZL103" s="450"/>
      <c r="JZM103" s="450"/>
      <c r="JZN103" s="450"/>
      <c r="JZO103" s="450"/>
      <c r="JZP103" s="450"/>
      <c r="JZQ103" s="450"/>
      <c r="JZR103" s="450"/>
      <c r="JZS103" s="450"/>
      <c r="JZT103" s="450"/>
      <c r="JZU103" s="450"/>
      <c r="JZV103" s="450"/>
      <c r="JZW103" s="450"/>
      <c r="JZX103" s="450"/>
      <c r="JZY103" s="450"/>
      <c r="JZZ103" s="450"/>
      <c r="KAA103" s="450"/>
      <c r="KAB103" s="450"/>
      <c r="KAC103" s="450"/>
      <c r="KAD103" s="450"/>
      <c r="KAE103" s="450"/>
      <c r="KAF103" s="450"/>
      <c r="KAG103" s="450"/>
      <c r="KAH103" s="450"/>
      <c r="KAI103" s="450"/>
      <c r="KAJ103" s="450"/>
      <c r="KAK103" s="450"/>
      <c r="KAL103" s="450"/>
      <c r="KAM103" s="450"/>
      <c r="KAN103" s="450"/>
      <c r="KAO103" s="450"/>
      <c r="KAP103" s="450"/>
      <c r="KAQ103" s="450"/>
      <c r="KAR103" s="450"/>
      <c r="KAS103" s="450"/>
      <c r="KAT103" s="450"/>
      <c r="KAU103" s="450"/>
      <c r="KAV103" s="450"/>
      <c r="KAW103" s="450"/>
      <c r="KAX103" s="450"/>
      <c r="KAY103" s="450"/>
      <c r="KAZ103" s="450"/>
      <c r="KBA103" s="450"/>
      <c r="KBB103" s="450"/>
      <c r="KBC103" s="450"/>
      <c r="KBD103" s="450"/>
      <c r="KBE103" s="450"/>
      <c r="KBF103" s="450"/>
      <c r="KBG103" s="450"/>
      <c r="KBH103" s="450"/>
      <c r="KBI103" s="450"/>
      <c r="KBJ103" s="450"/>
      <c r="KBK103" s="450"/>
      <c r="KBL103" s="450"/>
      <c r="KBM103" s="450"/>
      <c r="KBN103" s="450"/>
      <c r="KBO103" s="450"/>
      <c r="KBP103" s="450"/>
      <c r="KBQ103" s="450"/>
      <c r="KBR103" s="450"/>
      <c r="KBS103" s="450"/>
      <c r="KBT103" s="450"/>
      <c r="KBU103" s="450"/>
      <c r="KBV103" s="450"/>
      <c r="KBW103" s="450"/>
      <c r="KBX103" s="450"/>
      <c r="KBY103" s="450"/>
      <c r="KBZ103" s="450"/>
      <c r="KCA103" s="450"/>
      <c r="KCB103" s="450"/>
      <c r="KCC103" s="450"/>
      <c r="KCD103" s="450"/>
      <c r="KCE103" s="450"/>
      <c r="KCF103" s="450"/>
      <c r="KCG103" s="450"/>
      <c r="KCH103" s="450"/>
      <c r="KCI103" s="450"/>
      <c r="KCJ103" s="450"/>
      <c r="KCK103" s="450"/>
      <c r="KCL103" s="450"/>
      <c r="KCM103" s="450"/>
      <c r="KCN103" s="450"/>
      <c r="KCO103" s="450"/>
      <c r="KCP103" s="450"/>
      <c r="KCQ103" s="450"/>
      <c r="KCR103" s="450"/>
      <c r="KCS103" s="450"/>
      <c r="KCT103" s="450"/>
      <c r="KCU103" s="450"/>
      <c r="KCV103" s="450"/>
      <c r="KCW103" s="450"/>
      <c r="KCX103" s="450"/>
      <c r="KCY103" s="450"/>
      <c r="KCZ103" s="450"/>
      <c r="KDA103" s="450"/>
      <c r="KDB103" s="450"/>
      <c r="KDC103" s="450"/>
      <c r="KDD103" s="450"/>
      <c r="KDE103" s="450"/>
      <c r="KDF103" s="450"/>
      <c r="KDG103" s="450"/>
      <c r="KDH103" s="450"/>
      <c r="KDI103" s="450"/>
      <c r="KDJ103" s="450"/>
      <c r="KDK103" s="450"/>
      <c r="KDL103" s="450"/>
      <c r="KDM103" s="450"/>
      <c r="KDN103" s="450"/>
      <c r="KDO103" s="450"/>
      <c r="KDP103" s="450"/>
      <c r="KDQ103" s="450"/>
      <c r="KDR103" s="450"/>
      <c r="KDS103" s="450"/>
      <c r="KDT103" s="450"/>
      <c r="KDU103" s="450"/>
      <c r="KDV103" s="450"/>
      <c r="KDW103" s="450"/>
      <c r="KDX103" s="450"/>
      <c r="KDY103" s="450"/>
      <c r="KDZ103" s="450"/>
      <c r="KEA103" s="450"/>
      <c r="KEB103" s="450"/>
      <c r="KEC103" s="450"/>
      <c r="KED103" s="450"/>
      <c r="KEE103" s="450"/>
      <c r="KEF103" s="450"/>
      <c r="KEG103" s="450"/>
      <c r="KEH103" s="450"/>
      <c r="KEI103" s="450"/>
      <c r="KEJ103" s="450"/>
      <c r="KEK103" s="450"/>
      <c r="KEL103" s="450"/>
      <c r="KEM103" s="450"/>
      <c r="KEN103" s="450"/>
      <c r="KEO103" s="450"/>
      <c r="KEP103" s="450"/>
      <c r="KEQ103" s="450"/>
      <c r="KER103" s="450"/>
      <c r="KES103" s="450"/>
      <c r="KET103" s="450"/>
      <c r="KEU103" s="450"/>
      <c r="KEV103" s="450"/>
      <c r="KEW103" s="450"/>
      <c r="KEX103" s="450"/>
      <c r="KEY103" s="450"/>
      <c r="KEZ103" s="450"/>
      <c r="KFA103" s="450"/>
      <c r="KFB103" s="450"/>
      <c r="KFC103" s="450"/>
      <c r="KFD103" s="450"/>
      <c r="KFE103" s="450"/>
      <c r="KFF103" s="450"/>
      <c r="KFG103" s="450"/>
      <c r="KFH103" s="450"/>
      <c r="KFI103" s="450"/>
      <c r="KFJ103" s="450"/>
      <c r="KFK103" s="450"/>
      <c r="KFL103" s="450"/>
      <c r="KFM103" s="450"/>
      <c r="KFN103" s="450"/>
      <c r="KFO103" s="450"/>
      <c r="KFP103" s="450"/>
      <c r="KFQ103" s="450"/>
      <c r="KFR103" s="450"/>
      <c r="KFS103" s="450"/>
      <c r="KFT103" s="450"/>
      <c r="KFU103" s="450"/>
      <c r="KFV103" s="450"/>
      <c r="KFW103" s="450"/>
      <c r="KFX103" s="450"/>
      <c r="KFY103" s="450"/>
      <c r="KFZ103" s="450"/>
      <c r="KGA103" s="450"/>
      <c r="KGB103" s="450"/>
      <c r="KGC103" s="450"/>
      <c r="KGD103" s="450"/>
      <c r="KGE103" s="450"/>
      <c r="KGF103" s="450"/>
      <c r="KGG103" s="450"/>
      <c r="KGH103" s="450"/>
      <c r="KGI103" s="450"/>
      <c r="KGJ103" s="450"/>
      <c r="KGK103" s="450"/>
      <c r="KGL103" s="450"/>
      <c r="KGM103" s="450"/>
      <c r="KGN103" s="450"/>
      <c r="KGO103" s="450"/>
      <c r="KGP103" s="450"/>
      <c r="KGQ103" s="450"/>
      <c r="KGR103" s="450"/>
      <c r="KGS103" s="450"/>
      <c r="KGT103" s="450"/>
      <c r="KGU103" s="450"/>
      <c r="KGV103" s="450"/>
      <c r="KGW103" s="450"/>
      <c r="KGX103" s="450"/>
      <c r="KGY103" s="450"/>
      <c r="KGZ103" s="450"/>
      <c r="KHA103" s="450"/>
      <c r="KHB103" s="450"/>
      <c r="KHC103" s="450"/>
      <c r="KHD103" s="450"/>
      <c r="KHE103" s="450"/>
      <c r="KHF103" s="450"/>
      <c r="KHG103" s="450"/>
      <c r="KHH103" s="450"/>
      <c r="KHI103" s="450"/>
      <c r="KHJ103" s="450"/>
      <c r="KHK103" s="450"/>
      <c r="KHL103" s="450"/>
      <c r="KHM103" s="450"/>
      <c r="KHN103" s="450"/>
      <c r="KHO103" s="450"/>
      <c r="KHP103" s="450"/>
      <c r="KHQ103" s="450"/>
      <c r="KHR103" s="450"/>
      <c r="KHS103" s="450"/>
      <c r="KHT103" s="450"/>
      <c r="KHU103" s="450"/>
      <c r="KHV103" s="450"/>
      <c r="KHW103" s="450"/>
      <c r="KHX103" s="450"/>
      <c r="KHY103" s="450"/>
      <c r="KHZ103" s="450"/>
      <c r="KIA103" s="450"/>
      <c r="KIB103" s="450"/>
      <c r="KIC103" s="450"/>
      <c r="KID103" s="450"/>
      <c r="KIE103" s="450"/>
      <c r="KIF103" s="450"/>
      <c r="KIG103" s="450"/>
      <c r="KIH103" s="450"/>
      <c r="KII103" s="450"/>
      <c r="KIJ103" s="450"/>
      <c r="KIK103" s="450"/>
      <c r="KIL103" s="450"/>
      <c r="KIM103" s="450"/>
      <c r="KIN103" s="450"/>
      <c r="KIO103" s="450"/>
      <c r="KIP103" s="450"/>
      <c r="KIQ103" s="450"/>
      <c r="KIR103" s="450"/>
      <c r="KIS103" s="450"/>
      <c r="KIT103" s="450"/>
      <c r="KIU103" s="450"/>
      <c r="KIV103" s="450"/>
      <c r="KIW103" s="450"/>
      <c r="KIX103" s="450"/>
      <c r="KIY103" s="450"/>
      <c r="KIZ103" s="450"/>
      <c r="KJA103" s="450"/>
      <c r="KJB103" s="450"/>
      <c r="KJC103" s="450"/>
      <c r="KJD103" s="450"/>
      <c r="KJE103" s="450"/>
      <c r="KJF103" s="450"/>
      <c r="KJG103" s="450"/>
      <c r="KJH103" s="450"/>
      <c r="KJI103" s="450"/>
      <c r="KJJ103" s="450"/>
      <c r="KJK103" s="450"/>
      <c r="KJL103" s="450"/>
      <c r="KJM103" s="450"/>
      <c r="KJN103" s="450"/>
      <c r="KJO103" s="450"/>
      <c r="KJP103" s="450"/>
      <c r="KJQ103" s="450"/>
      <c r="KJR103" s="450"/>
      <c r="KJS103" s="450"/>
      <c r="KJT103" s="450"/>
      <c r="KJU103" s="450"/>
      <c r="KJV103" s="450"/>
      <c r="KJW103" s="450"/>
      <c r="KJX103" s="450"/>
      <c r="KJY103" s="450"/>
      <c r="KJZ103" s="450"/>
      <c r="KKA103" s="450"/>
      <c r="KKB103" s="450"/>
      <c r="KKC103" s="450"/>
      <c r="KKD103" s="450"/>
      <c r="KKE103" s="450"/>
      <c r="KKF103" s="450"/>
      <c r="KKG103" s="450"/>
      <c r="KKH103" s="450"/>
      <c r="KKI103" s="450"/>
      <c r="KKJ103" s="450"/>
      <c r="KKK103" s="450"/>
      <c r="KKL103" s="450"/>
      <c r="KKM103" s="450"/>
      <c r="KKN103" s="450"/>
      <c r="KKO103" s="450"/>
      <c r="KKP103" s="450"/>
      <c r="KKQ103" s="450"/>
      <c r="KKR103" s="450"/>
      <c r="KKS103" s="450"/>
      <c r="KKT103" s="450"/>
      <c r="KKU103" s="450"/>
      <c r="KKV103" s="450"/>
      <c r="KKW103" s="450"/>
      <c r="KKX103" s="450"/>
      <c r="KKY103" s="450"/>
      <c r="KKZ103" s="450"/>
      <c r="KLA103" s="450"/>
      <c r="KLB103" s="450"/>
      <c r="KLC103" s="450"/>
      <c r="KLD103" s="450"/>
      <c r="KLE103" s="450"/>
      <c r="KLF103" s="450"/>
      <c r="KLG103" s="450"/>
      <c r="KLH103" s="450"/>
      <c r="KLI103" s="450"/>
      <c r="KLJ103" s="450"/>
      <c r="KLK103" s="450"/>
      <c r="KLL103" s="450"/>
      <c r="KLM103" s="450"/>
      <c r="KLN103" s="450"/>
      <c r="KLO103" s="450"/>
      <c r="KLP103" s="450"/>
      <c r="KLQ103" s="450"/>
      <c r="KLR103" s="450"/>
      <c r="KLS103" s="450"/>
      <c r="KLT103" s="450"/>
      <c r="KLU103" s="450"/>
      <c r="KLV103" s="450"/>
      <c r="KLW103" s="450"/>
      <c r="KLX103" s="450"/>
      <c r="KLY103" s="450"/>
      <c r="KLZ103" s="450"/>
      <c r="KMA103" s="450"/>
      <c r="KMB103" s="450"/>
      <c r="KMC103" s="450"/>
      <c r="KMD103" s="450"/>
      <c r="KME103" s="450"/>
      <c r="KMF103" s="450"/>
      <c r="KMG103" s="450"/>
      <c r="KMH103" s="450"/>
      <c r="KMI103" s="450"/>
      <c r="KMJ103" s="450"/>
      <c r="KMK103" s="450"/>
      <c r="KML103" s="450"/>
      <c r="KMM103" s="450"/>
      <c r="KMN103" s="450"/>
      <c r="KMO103" s="450"/>
      <c r="KMP103" s="450"/>
      <c r="KMQ103" s="450"/>
      <c r="KMR103" s="450"/>
      <c r="KMS103" s="450"/>
      <c r="KMT103" s="450"/>
      <c r="KMU103" s="450"/>
      <c r="KMV103" s="450"/>
      <c r="KMW103" s="450"/>
      <c r="KMX103" s="450"/>
      <c r="KMY103" s="450"/>
      <c r="KMZ103" s="450"/>
      <c r="KNA103" s="450"/>
      <c r="KNB103" s="450"/>
      <c r="KNC103" s="450"/>
      <c r="KND103" s="450"/>
      <c r="KNE103" s="450"/>
      <c r="KNF103" s="450"/>
      <c r="KNG103" s="450"/>
      <c r="KNH103" s="450"/>
      <c r="KNI103" s="450"/>
      <c r="KNJ103" s="450"/>
      <c r="KNK103" s="450"/>
      <c r="KNL103" s="450"/>
      <c r="KNM103" s="450"/>
      <c r="KNN103" s="450"/>
      <c r="KNO103" s="450"/>
      <c r="KNP103" s="450"/>
      <c r="KNQ103" s="450"/>
      <c r="KNR103" s="450"/>
      <c r="KNS103" s="450"/>
      <c r="KNT103" s="450"/>
      <c r="KNU103" s="450"/>
      <c r="KNV103" s="450"/>
      <c r="KNW103" s="450"/>
      <c r="KNX103" s="450"/>
      <c r="KNY103" s="450"/>
      <c r="KNZ103" s="450"/>
      <c r="KOA103" s="450"/>
      <c r="KOB103" s="450"/>
      <c r="KOC103" s="450"/>
      <c r="KOD103" s="450"/>
      <c r="KOE103" s="450"/>
      <c r="KOF103" s="450"/>
      <c r="KOG103" s="450"/>
      <c r="KOH103" s="450"/>
      <c r="KOI103" s="450"/>
      <c r="KOJ103" s="450"/>
      <c r="KOK103" s="450"/>
      <c r="KOL103" s="450"/>
      <c r="KOM103" s="450"/>
      <c r="KON103" s="450"/>
      <c r="KOO103" s="450"/>
      <c r="KOP103" s="450"/>
      <c r="KOQ103" s="450"/>
      <c r="KOR103" s="450"/>
      <c r="KOS103" s="450"/>
      <c r="KOT103" s="450"/>
      <c r="KOU103" s="450"/>
      <c r="KOV103" s="450"/>
      <c r="KOW103" s="450"/>
      <c r="KOX103" s="450"/>
      <c r="KOY103" s="450"/>
      <c r="KOZ103" s="450"/>
      <c r="KPA103" s="450"/>
      <c r="KPB103" s="450"/>
      <c r="KPC103" s="450"/>
      <c r="KPD103" s="450"/>
      <c r="KPE103" s="450"/>
      <c r="KPF103" s="450"/>
      <c r="KPG103" s="450"/>
      <c r="KPH103" s="450"/>
      <c r="KPI103" s="450"/>
      <c r="KPJ103" s="450"/>
      <c r="KPK103" s="450"/>
      <c r="KPL103" s="450"/>
      <c r="KPM103" s="450"/>
      <c r="KPN103" s="450"/>
      <c r="KPO103" s="450"/>
      <c r="KPP103" s="450"/>
      <c r="KPQ103" s="450"/>
      <c r="KPR103" s="450"/>
      <c r="KPS103" s="450"/>
      <c r="KPT103" s="450"/>
      <c r="KPU103" s="450"/>
      <c r="KPV103" s="450"/>
      <c r="KPW103" s="450"/>
      <c r="KPX103" s="450"/>
      <c r="KPY103" s="450"/>
      <c r="KPZ103" s="450"/>
      <c r="KQA103" s="450"/>
      <c r="KQB103" s="450"/>
      <c r="KQC103" s="450"/>
      <c r="KQD103" s="450"/>
      <c r="KQE103" s="450"/>
      <c r="KQF103" s="450"/>
      <c r="KQG103" s="450"/>
      <c r="KQH103" s="450"/>
      <c r="KQI103" s="450"/>
      <c r="KQJ103" s="450"/>
      <c r="KQK103" s="450"/>
      <c r="KQL103" s="450"/>
      <c r="KQM103" s="450"/>
      <c r="KQN103" s="450"/>
      <c r="KQO103" s="450"/>
      <c r="KQP103" s="450"/>
      <c r="KQQ103" s="450"/>
      <c r="KQR103" s="450"/>
      <c r="KQS103" s="450"/>
      <c r="KQT103" s="450"/>
      <c r="KQU103" s="450"/>
      <c r="KQV103" s="450"/>
      <c r="KQW103" s="450"/>
      <c r="KQX103" s="450"/>
      <c r="KQY103" s="450"/>
      <c r="KQZ103" s="450"/>
      <c r="KRA103" s="450"/>
      <c r="KRB103" s="450"/>
      <c r="KRC103" s="450"/>
      <c r="KRD103" s="450"/>
      <c r="KRE103" s="450"/>
      <c r="KRF103" s="450"/>
      <c r="KRG103" s="450"/>
      <c r="KRH103" s="450"/>
      <c r="KRI103" s="450"/>
      <c r="KRJ103" s="450"/>
      <c r="KRK103" s="450"/>
      <c r="KRL103" s="450"/>
      <c r="KRM103" s="450"/>
      <c r="KRN103" s="450"/>
      <c r="KRO103" s="450"/>
      <c r="KRP103" s="450"/>
      <c r="KRQ103" s="450"/>
      <c r="KRR103" s="450"/>
      <c r="KRS103" s="450"/>
      <c r="KRT103" s="450"/>
      <c r="KRU103" s="450"/>
      <c r="KRV103" s="450"/>
      <c r="KRW103" s="450"/>
      <c r="KRX103" s="450"/>
      <c r="KRY103" s="450"/>
      <c r="KRZ103" s="450"/>
      <c r="KSA103" s="450"/>
      <c r="KSB103" s="450"/>
      <c r="KSC103" s="450"/>
      <c r="KSD103" s="450"/>
      <c r="KSE103" s="450"/>
      <c r="KSF103" s="450"/>
      <c r="KSG103" s="450"/>
      <c r="KSH103" s="450"/>
      <c r="KSI103" s="450"/>
      <c r="KSJ103" s="450"/>
      <c r="KSK103" s="450"/>
      <c r="KSL103" s="450"/>
      <c r="KSM103" s="450"/>
      <c r="KSN103" s="450"/>
      <c r="KSO103" s="450"/>
      <c r="KSP103" s="450"/>
      <c r="KSQ103" s="450"/>
      <c r="KSR103" s="450"/>
      <c r="KSS103" s="450"/>
      <c r="KST103" s="450"/>
      <c r="KSU103" s="450"/>
      <c r="KSV103" s="450"/>
      <c r="KSW103" s="450"/>
      <c r="KSX103" s="450"/>
      <c r="KSY103" s="450"/>
      <c r="KSZ103" s="450"/>
      <c r="KTA103" s="450"/>
      <c r="KTB103" s="450"/>
      <c r="KTC103" s="450"/>
      <c r="KTD103" s="450"/>
      <c r="KTE103" s="450"/>
      <c r="KTF103" s="450"/>
      <c r="KTG103" s="450"/>
      <c r="KTH103" s="450"/>
      <c r="KTI103" s="450"/>
      <c r="KTJ103" s="450"/>
      <c r="KTK103" s="450"/>
      <c r="KTL103" s="450"/>
      <c r="KTM103" s="450"/>
      <c r="KTN103" s="450"/>
      <c r="KTO103" s="450"/>
      <c r="KTP103" s="450"/>
      <c r="KTQ103" s="450"/>
      <c r="KTR103" s="450"/>
      <c r="KTS103" s="450"/>
      <c r="KTT103" s="450"/>
      <c r="KTU103" s="450"/>
      <c r="KTV103" s="450"/>
      <c r="KTW103" s="450"/>
      <c r="KTX103" s="450"/>
      <c r="KTY103" s="450"/>
      <c r="KTZ103" s="450"/>
      <c r="KUA103" s="450"/>
      <c r="KUB103" s="450"/>
      <c r="KUC103" s="450"/>
      <c r="KUD103" s="450"/>
      <c r="KUE103" s="450"/>
      <c r="KUF103" s="450"/>
      <c r="KUG103" s="450"/>
      <c r="KUH103" s="450"/>
      <c r="KUI103" s="450"/>
      <c r="KUJ103" s="450"/>
      <c r="KUK103" s="450"/>
      <c r="KUL103" s="450"/>
      <c r="KUM103" s="450"/>
      <c r="KUN103" s="450"/>
      <c r="KUO103" s="450"/>
      <c r="KUP103" s="450"/>
      <c r="KUQ103" s="450"/>
      <c r="KUR103" s="450"/>
      <c r="KUS103" s="450"/>
      <c r="KUT103" s="450"/>
      <c r="KUU103" s="450"/>
      <c r="KUV103" s="450"/>
      <c r="KUW103" s="450"/>
      <c r="KUX103" s="450"/>
      <c r="KUY103" s="450"/>
      <c r="KUZ103" s="450"/>
      <c r="KVA103" s="450"/>
      <c r="KVB103" s="450"/>
      <c r="KVC103" s="450"/>
      <c r="KVD103" s="450"/>
      <c r="KVE103" s="450"/>
      <c r="KVF103" s="450"/>
      <c r="KVG103" s="450"/>
      <c r="KVH103" s="450"/>
      <c r="KVI103" s="450"/>
      <c r="KVJ103" s="450"/>
      <c r="KVK103" s="450"/>
      <c r="KVL103" s="450"/>
      <c r="KVM103" s="450"/>
      <c r="KVN103" s="450"/>
      <c r="KVO103" s="450"/>
      <c r="KVP103" s="450"/>
      <c r="KVQ103" s="450"/>
      <c r="KVR103" s="450"/>
      <c r="KVS103" s="450"/>
      <c r="KVT103" s="450"/>
      <c r="KVU103" s="450"/>
      <c r="KVV103" s="450"/>
      <c r="KVW103" s="450"/>
      <c r="KVX103" s="450"/>
      <c r="KVY103" s="450"/>
      <c r="KVZ103" s="450"/>
      <c r="KWA103" s="450"/>
      <c r="KWB103" s="450"/>
      <c r="KWC103" s="450"/>
      <c r="KWD103" s="450"/>
      <c r="KWE103" s="450"/>
      <c r="KWF103" s="450"/>
      <c r="KWG103" s="450"/>
      <c r="KWH103" s="450"/>
      <c r="KWI103" s="450"/>
      <c r="KWJ103" s="450"/>
      <c r="KWK103" s="450"/>
      <c r="KWL103" s="450"/>
      <c r="KWM103" s="450"/>
      <c r="KWN103" s="450"/>
      <c r="KWO103" s="450"/>
      <c r="KWP103" s="450"/>
      <c r="KWQ103" s="450"/>
      <c r="KWR103" s="450"/>
      <c r="KWS103" s="450"/>
      <c r="KWT103" s="450"/>
      <c r="KWU103" s="450"/>
      <c r="KWV103" s="450"/>
      <c r="KWW103" s="450"/>
      <c r="KWX103" s="450"/>
      <c r="KWY103" s="450"/>
      <c r="KWZ103" s="450"/>
      <c r="KXA103" s="450"/>
      <c r="KXB103" s="450"/>
      <c r="KXC103" s="450"/>
      <c r="KXD103" s="450"/>
      <c r="KXE103" s="450"/>
      <c r="KXF103" s="450"/>
      <c r="KXG103" s="450"/>
      <c r="KXH103" s="450"/>
      <c r="KXI103" s="450"/>
      <c r="KXJ103" s="450"/>
      <c r="KXK103" s="450"/>
      <c r="KXL103" s="450"/>
      <c r="KXM103" s="450"/>
      <c r="KXN103" s="450"/>
      <c r="KXO103" s="450"/>
      <c r="KXP103" s="450"/>
      <c r="KXQ103" s="450"/>
      <c r="KXR103" s="450"/>
      <c r="KXS103" s="450"/>
      <c r="KXT103" s="450"/>
      <c r="KXU103" s="450"/>
      <c r="KXV103" s="450"/>
      <c r="KXW103" s="450"/>
      <c r="KXX103" s="450"/>
      <c r="KXY103" s="450"/>
      <c r="KXZ103" s="450"/>
      <c r="KYA103" s="450"/>
      <c r="KYB103" s="450"/>
      <c r="KYC103" s="450"/>
      <c r="KYD103" s="450"/>
      <c r="KYE103" s="450"/>
      <c r="KYF103" s="450"/>
      <c r="KYG103" s="450"/>
      <c r="KYH103" s="450"/>
      <c r="KYI103" s="450"/>
      <c r="KYJ103" s="450"/>
      <c r="KYK103" s="450"/>
      <c r="KYL103" s="450"/>
      <c r="KYM103" s="450"/>
      <c r="KYN103" s="450"/>
      <c r="KYO103" s="450"/>
      <c r="KYP103" s="450"/>
      <c r="KYQ103" s="450"/>
      <c r="KYR103" s="450"/>
      <c r="KYS103" s="450"/>
      <c r="KYT103" s="450"/>
      <c r="KYU103" s="450"/>
      <c r="KYV103" s="450"/>
      <c r="KYW103" s="450"/>
      <c r="KYX103" s="450"/>
      <c r="KYY103" s="450"/>
      <c r="KYZ103" s="450"/>
      <c r="KZA103" s="450"/>
      <c r="KZB103" s="450"/>
      <c r="KZC103" s="450"/>
      <c r="KZD103" s="450"/>
      <c r="KZE103" s="450"/>
      <c r="KZF103" s="450"/>
      <c r="KZG103" s="450"/>
      <c r="KZH103" s="450"/>
      <c r="KZI103" s="450"/>
      <c r="KZJ103" s="450"/>
      <c r="KZK103" s="450"/>
      <c r="KZL103" s="450"/>
      <c r="KZM103" s="450"/>
      <c r="KZN103" s="450"/>
      <c r="KZO103" s="450"/>
      <c r="KZP103" s="450"/>
      <c r="KZQ103" s="450"/>
      <c r="KZR103" s="450"/>
      <c r="KZS103" s="450"/>
      <c r="KZT103" s="450"/>
      <c r="KZU103" s="450"/>
      <c r="KZV103" s="450"/>
      <c r="KZW103" s="450"/>
      <c r="KZX103" s="450"/>
      <c r="KZY103" s="450"/>
      <c r="KZZ103" s="450"/>
      <c r="LAA103" s="450"/>
      <c r="LAB103" s="450"/>
      <c r="LAC103" s="450"/>
      <c r="LAD103" s="450"/>
      <c r="LAE103" s="450"/>
      <c r="LAF103" s="450"/>
      <c r="LAG103" s="450"/>
      <c r="LAH103" s="450"/>
      <c r="LAI103" s="450"/>
      <c r="LAJ103" s="450"/>
      <c r="LAK103" s="450"/>
      <c r="LAL103" s="450"/>
      <c r="LAM103" s="450"/>
      <c r="LAN103" s="450"/>
      <c r="LAO103" s="450"/>
      <c r="LAP103" s="450"/>
      <c r="LAQ103" s="450"/>
      <c r="LAR103" s="450"/>
      <c r="LAS103" s="450"/>
      <c r="LAT103" s="450"/>
      <c r="LAU103" s="450"/>
      <c r="LAV103" s="450"/>
      <c r="LAW103" s="450"/>
      <c r="LAX103" s="450"/>
      <c r="LAY103" s="450"/>
      <c r="LAZ103" s="450"/>
      <c r="LBA103" s="450"/>
      <c r="LBB103" s="450"/>
      <c r="LBC103" s="450"/>
      <c r="LBD103" s="450"/>
      <c r="LBE103" s="450"/>
      <c r="LBF103" s="450"/>
      <c r="LBG103" s="450"/>
      <c r="LBH103" s="450"/>
      <c r="LBI103" s="450"/>
      <c r="LBJ103" s="450"/>
      <c r="LBK103" s="450"/>
      <c r="LBL103" s="450"/>
      <c r="LBM103" s="450"/>
      <c r="LBN103" s="450"/>
      <c r="LBO103" s="450"/>
      <c r="LBP103" s="450"/>
      <c r="LBQ103" s="450"/>
      <c r="LBR103" s="450"/>
      <c r="LBS103" s="450"/>
      <c r="LBT103" s="450"/>
      <c r="LBU103" s="450"/>
      <c r="LBV103" s="450"/>
      <c r="LBW103" s="450"/>
      <c r="LBX103" s="450"/>
      <c r="LBY103" s="450"/>
      <c r="LBZ103" s="450"/>
      <c r="LCA103" s="450"/>
      <c r="LCB103" s="450"/>
      <c r="LCC103" s="450"/>
      <c r="LCD103" s="450"/>
      <c r="LCE103" s="450"/>
      <c r="LCF103" s="450"/>
      <c r="LCG103" s="450"/>
      <c r="LCH103" s="450"/>
      <c r="LCI103" s="450"/>
      <c r="LCJ103" s="450"/>
      <c r="LCK103" s="450"/>
      <c r="LCL103" s="450"/>
      <c r="LCM103" s="450"/>
      <c r="LCN103" s="450"/>
      <c r="LCO103" s="450"/>
      <c r="LCP103" s="450"/>
      <c r="LCQ103" s="450"/>
      <c r="LCR103" s="450"/>
      <c r="LCS103" s="450"/>
      <c r="LCT103" s="450"/>
      <c r="LCU103" s="450"/>
      <c r="LCV103" s="450"/>
      <c r="LCW103" s="450"/>
      <c r="LCX103" s="450"/>
      <c r="LCY103" s="450"/>
      <c r="LCZ103" s="450"/>
      <c r="LDA103" s="450"/>
      <c r="LDB103" s="450"/>
      <c r="LDC103" s="450"/>
      <c r="LDD103" s="450"/>
      <c r="LDE103" s="450"/>
      <c r="LDF103" s="450"/>
      <c r="LDG103" s="450"/>
      <c r="LDH103" s="450"/>
      <c r="LDI103" s="450"/>
      <c r="LDJ103" s="450"/>
      <c r="LDK103" s="450"/>
      <c r="LDL103" s="450"/>
      <c r="LDM103" s="450"/>
      <c r="LDN103" s="450"/>
      <c r="LDO103" s="450"/>
      <c r="LDP103" s="450"/>
      <c r="LDQ103" s="450"/>
      <c r="LDR103" s="450"/>
      <c r="LDS103" s="450"/>
      <c r="LDT103" s="450"/>
      <c r="LDU103" s="450"/>
      <c r="LDV103" s="450"/>
      <c r="LDW103" s="450"/>
      <c r="LDX103" s="450"/>
      <c r="LDY103" s="450"/>
      <c r="LDZ103" s="450"/>
      <c r="LEA103" s="450"/>
      <c r="LEB103" s="450"/>
      <c r="LEC103" s="450"/>
      <c r="LED103" s="450"/>
      <c r="LEE103" s="450"/>
      <c r="LEF103" s="450"/>
      <c r="LEG103" s="450"/>
      <c r="LEH103" s="450"/>
      <c r="LEI103" s="450"/>
      <c r="LEJ103" s="450"/>
      <c r="LEK103" s="450"/>
      <c r="LEL103" s="450"/>
      <c r="LEM103" s="450"/>
      <c r="LEN103" s="450"/>
      <c r="LEO103" s="450"/>
      <c r="LEP103" s="450"/>
      <c r="LEQ103" s="450"/>
      <c r="LER103" s="450"/>
      <c r="LES103" s="450"/>
      <c r="LET103" s="450"/>
      <c r="LEU103" s="450"/>
      <c r="LEV103" s="450"/>
      <c r="LEW103" s="450"/>
      <c r="LEX103" s="450"/>
      <c r="LEY103" s="450"/>
      <c r="LEZ103" s="450"/>
      <c r="LFA103" s="450"/>
      <c r="LFB103" s="450"/>
      <c r="LFC103" s="450"/>
      <c r="LFD103" s="450"/>
      <c r="LFE103" s="450"/>
      <c r="LFF103" s="450"/>
      <c r="LFG103" s="450"/>
      <c r="LFH103" s="450"/>
      <c r="LFI103" s="450"/>
      <c r="LFJ103" s="450"/>
      <c r="LFK103" s="450"/>
      <c r="LFL103" s="450"/>
      <c r="LFM103" s="450"/>
      <c r="LFN103" s="450"/>
      <c r="LFO103" s="450"/>
      <c r="LFP103" s="450"/>
      <c r="LFQ103" s="450"/>
      <c r="LFR103" s="450"/>
      <c r="LFS103" s="450"/>
      <c r="LFT103" s="450"/>
      <c r="LFU103" s="450"/>
      <c r="LFV103" s="450"/>
      <c r="LFW103" s="450"/>
      <c r="LFX103" s="450"/>
      <c r="LFY103" s="450"/>
      <c r="LFZ103" s="450"/>
      <c r="LGA103" s="450"/>
      <c r="LGB103" s="450"/>
      <c r="LGC103" s="450"/>
      <c r="LGD103" s="450"/>
      <c r="LGE103" s="450"/>
      <c r="LGF103" s="450"/>
      <c r="LGG103" s="450"/>
      <c r="LGH103" s="450"/>
      <c r="LGI103" s="450"/>
      <c r="LGJ103" s="450"/>
      <c r="LGK103" s="450"/>
      <c r="LGL103" s="450"/>
      <c r="LGM103" s="450"/>
      <c r="LGN103" s="450"/>
      <c r="LGO103" s="450"/>
      <c r="LGP103" s="450"/>
      <c r="LGQ103" s="450"/>
      <c r="LGR103" s="450"/>
      <c r="LGS103" s="450"/>
      <c r="LGT103" s="450"/>
      <c r="LGU103" s="450"/>
      <c r="LGV103" s="450"/>
      <c r="LGW103" s="450"/>
      <c r="LGX103" s="450"/>
      <c r="LGY103" s="450"/>
      <c r="LGZ103" s="450"/>
      <c r="LHA103" s="450"/>
      <c r="LHB103" s="450"/>
      <c r="LHC103" s="450"/>
      <c r="LHD103" s="450"/>
      <c r="LHE103" s="450"/>
      <c r="LHF103" s="450"/>
      <c r="LHG103" s="450"/>
      <c r="LHH103" s="450"/>
      <c r="LHI103" s="450"/>
      <c r="LHJ103" s="450"/>
      <c r="LHK103" s="450"/>
      <c r="LHL103" s="450"/>
      <c r="LHM103" s="450"/>
      <c r="LHN103" s="450"/>
      <c r="LHO103" s="450"/>
      <c r="LHP103" s="450"/>
      <c r="LHQ103" s="450"/>
      <c r="LHR103" s="450"/>
      <c r="LHS103" s="450"/>
      <c r="LHT103" s="450"/>
      <c r="LHU103" s="450"/>
      <c r="LHV103" s="450"/>
      <c r="LHW103" s="450"/>
      <c r="LHX103" s="450"/>
      <c r="LHY103" s="450"/>
      <c r="LHZ103" s="450"/>
      <c r="LIA103" s="450"/>
      <c r="LIB103" s="450"/>
      <c r="LIC103" s="450"/>
      <c r="LID103" s="450"/>
      <c r="LIE103" s="450"/>
      <c r="LIF103" s="450"/>
      <c r="LIG103" s="450"/>
      <c r="LIH103" s="450"/>
      <c r="LII103" s="450"/>
      <c r="LIJ103" s="450"/>
      <c r="LIK103" s="450"/>
      <c r="LIL103" s="450"/>
      <c r="LIM103" s="450"/>
      <c r="LIN103" s="450"/>
      <c r="LIO103" s="450"/>
      <c r="LIP103" s="450"/>
      <c r="LIQ103" s="450"/>
      <c r="LIR103" s="450"/>
      <c r="LIS103" s="450"/>
      <c r="LIT103" s="450"/>
      <c r="LIU103" s="450"/>
      <c r="LIV103" s="450"/>
      <c r="LIW103" s="450"/>
      <c r="LIX103" s="450"/>
      <c r="LIY103" s="450"/>
      <c r="LIZ103" s="450"/>
      <c r="LJA103" s="450"/>
      <c r="LJB103" s="450"/>
      <c r="LJC103" s="450"/>
      <c r="LJD103" s="450"/>
      <c r="LJE103" s="450"/>
      <c r="LJF103" s="450"/>
      <c r="LJG103" s="450"/>
      <c r="LJH103" s="450"/>
      <c r="LJI103" s="450"/>
      <c r="LJJ103" s="450"/>
      <c r="LJK103" s="450"/>
      <c r="LJL103" s="450"/>
      <c r="LJM103" s="450"/>
      <c r="LJN103" s="450"/>
      <c r="LJO103" s="450"/>
      <c r="LJP103" s="450"/>
      <c r="LJQ103" s="450"/>
      <c r="LJR103" s="450"/>
      <c r="LJS103" s="450"/>
      <c r="LJT103" s="450"/>
      <c r="LJU103" s="450"/>
      <c r="LJV103" s="450"/>
      <c r="LJW103" s="450"/>
      <c r="LJX103" s="450"/>
      <c r="LJY103" s="450"/>
      <c r="LJZ103" s="450"/>
      <c r="LKA103" s="450"/>
      <c r="LKB103" s="450"/>
      <c r="LKC103" s="450"/>
      <c r="LKD103" s="450"/>
      <c r="LKE103" s="450"/>
      <c r="LKF103" s="450"/>
      <c r="LKG103" s="450"/>
      <c r="LKH103" s="450"/>
      <c r="LKI103" s="450"/>
      <c r="LKJ103" s="450"/>
      <c r="LKK103" s="450"/>
      <c r="LKL103" s="450"/>
      <c r="LKM103" s="450"/>
      <c r="LKN103" s="450"/>
      <c r="LKO103" s="450"/>
      <c r="LKP103" s="450"/>
      <c r="LKQ103" s="450"/>
      <c r="LKR103" s="450"/>
      <c r="LKS103" s="450"/>
      <c r="LKT103" s="450"/>
      <c r="LKU103" s="450"/>
      <c r="LKV103" s="450"/>
      <c r="LKW103" s="450"/>
      <c r="LKX103" s="450"/>
      <c r="LKY103" s="450"/>
      <c r="LKZ103" s="450"/>
      <c r="LLA103" s="450"/>
      <c r="LLB103" s="450"/>
      <c r="LLC103" s="450"/>
      <c r="LLD103" s="450"/>
      <c r="LLE103" s="450"/>
      <c r="LLF103" s="450"/>
      <c r="LLG103" s="450"/>
      <c r="LLH103" s="450"/>
      <c r="LLI103" s="450"/>
      <c r="LLJ103" s="450"/>
      <c r="LLK103" s="450"/>
      <c r="LLL103" s="450"/>
      <c r="LLM103" s="450"/>
      <c r="LLN103" s="450"/>
      <c r="LLO103" s="450"/>
      <c r="LLP103" s="450"/>
      <c r="LLQ103" s="450"/>
      <c r="LLR103" s="450"/>
      <c r="LLS103" s="450"/>
      <c r="LLT103" s="450"/>
      <c r="LLU103" s="450"/>
      <c r="LLV103" s="450"/>
      <c r="LLW103" s="450"/>
      <c r="LLX103" s="450"/>
      <c r="LLY103" s="450"/>
      <c r="LLZ103" s="450"/>
      <c r="LMA103" s="450"/>
      <c r="LMB103" s="450"/>
      <c r="LMC103" s="450"/>
      <c r="LMD103" s="450"/>
      <c r="LME103" s="450"/>
      <c r="LMF103" s="450"/>
      <c r="LMG103" s="450"/>
      <c r="LMH103" s="450"/>
      <c r="LMI103" s="450"/>
      <c r="LMJ103" s="450"/>
      <c r="LMK103" s="450"/>
      <c r="LML103" s="450"/>
      <c r="LMM103" s="450"/>
      <c r="LMN103" s="450"/>
      <c r="LMO103" s="450"/>
      <c r="LMP103" s="450"/>
      <c r="LMQ103" s="450"/>
      <c r="LMR103" s="450"/>
      <c r="LMS103" s="450"/>
      <c r="LMT103" s="450"/>
      <c r="LMU103" s="450"/>
      <c r="LMV103" s="450"/>
      <c r="LMW103" s="450"/>
      <c r="LMX103" s="450"/>
      <c r="LMY103" s="450"/>
      <c r="LMZ103" s="450"/>
      <c r="LNA103" s="450"/>
      <c r="LNB103" s="450"/>
      <c r="LNC103" s="450"/>
      <c r="LND103" s="450"/>
      <c r="LNE103" s="450"/>
      <c r="LNF103" s="450"/>
      <c r="LNG103" s="450"/>
      <c r="LNH103" s="450"/>
      <c r="LNI103" s="450"/>
      <c r="LNJ103" s="450"/>
      <c r="LNK103" s="450"/>
      <c r="LNL103" s="450"/>
      <c r="LNM103" s="450"/>
      <c r="LNN103" s="450"/>
      <c r="LNO103" s="450"/>
      <c r="LNP103" s="450"/>
      <c r="LNQ103" s="450"/>
      <c r="LNR103" s="450"/>
      <c r="LNS103" s="450"/>
      <c r="LNT103" s="450"/>
      <c r="LNU103" s="450"/>
      <c r="LNV103" s="450"/>
      <c r="LNW103" s="450"/>
      <c r="LNX103" s="450"/>
      <c r="LNY103" s="450"/>
      <c r="LNZ103" s="450"/>
      <c r="LOA103" s="450"/>
      <c r="LOB103" s="450"/>
      <c r="LOC103" s="450"/>
      <c r="LOD103" s="450"/>
      <c r="LOE103" s="450"/>
      <c r="LOF103" s="450"/>
      <c r="LOG103" s="450"/>
      <c r="LOH103" s="450"/>
      <c r="LOI103" s="450"/>
      <c r="LOJ103" s="450"/>
      <c r="LOK103" s="450"/>
      <c r="LOL103" s="450"/>
      <c r="LOM103" s="450"/>
      <c r="LON103" s="450"/>
      <c r="LOO103" s="450"/>
      <c r="LOP103" s="450"/>
      <c r="LOQ103" s="450"/>
      <c r="LOR103" s="450"/>
      <c r="LOS103" s="450"/>
      <c r="LOT103" s="450"/>
      <c r="LOU103" s="450"/>
      <c r="LOV103" s="450"/>
      <c r="LOW103" s="450"/>
      <c r="LOX103" s="450"/>
      <c r="LOY103" s="450"/>
      <c r="LOZ103" s="450"/>
      <c r="LPA103" s="450"/>
      <c r="LPB103" s="450"/>
      <c r="LPC103" s="450"/>
      <c r="LPD103" s="450"/>
      <c r="LPE103" s="450"/>
      <c r="LPF103" s="450"/>
      <c r="LPG103" s="450"/>
      <c r="LPH103" s="450"/>
      <c r="LPI103" s="450"/>
      <c r="LPJ103" s="450"/>
      <c r="LPK103" s="450"/>
      <c r="LPL103" s="450"/>
      <c r="LPM103" s="450"/>
      <c r="LPN103" s="450"/>
      <c r="LPO103" s="450"/>
      <c r="LPP103" s="450"/>
      <c r="LPQ103" s="450"/>
      <c r="LPR103" s="450"/>
      <c r="LPS103" s="450"/>
      <c r="LPT103" s="450"/>
      <c r="LPU103" s="450"/>
      <c r="LPV103" s="450"/>
      <c r="LPW103" s="450"/>
      <c r="LPX103" s="450"/>
      <c r="LPY103" s="450"/>
      <c r="LPZ103" s="450"/>
      <c r="LQA103" s="450"/>
      <c r="LQB103" s="450"/>
      <c r="LQC103" s="450"/>
      <c r="LQD103" s="450"/>
      <c r="LQE103" s="450"/>
      <c r="LQF103" s="450"/>
      <c r="LQG103" s="450"/>
      <c r="LQH103" s="450"/>
      <c r="LQI103" s="450"/>
      <c r="LQJ103" s="450"/>
      <c r="LQK103" s="450"/>
      <c r="LQL103" s="450"/>
      <c r="LQM103" s="450"/>
      <c r="LQN103" s="450"/>
      <c r="LQO103" s="450"/>
      <c r="LQP103" s="450"/>
      <c r="LQQ103" s="450"/>
      <c r="LQR103" s="450"/>
      <c r="LQS103" s="450"/>
      <c r="LQT103" s="450"/>
      <c r="LQU103" s="450"/>
      <c r="LQV103" s="450"/>
      <c r="LQW103" s="450"/>
      <c r="LQX103" s="450"/>
      <c r="LQY103" s="450"/>
      <c r="LQZ103" s="450"/>
      <c r="LRA103" s="450"/>
      <c r="LRB103" s="450"/>
      <c r="LRC103" s="450"/>
      <c r="LRD103" s="450"/>
      <c r="LRE103" s="450"/>
      <c r="LRF103" s="450"/>
      <c r="LRG103" s="450"/>
      <c r="LRH103" s="450"/>
      <c r="LRI103" s="450"/>
      <c r="LRJ103" s="450"/>
      <c r="LRK103" s="450"/>
      <c r="LRL103" s="450"/>
      <c r="LRM103" s="450"/>
      <c r="LRN103" s="450"/>
      <c r="LRO103" s="450"/>
      <c r="LRP103" s="450"/>
      <c r="LRQ103" s="450"/>
      <c r="LRR103" s="450"/>
      <c r="LRS103" s="450"/>
      <c r="LRT103" s="450"/>
      <c r="LRU103" s="450"/>
      <c r="LRV103" s="450"/>
      <c r="LRW103" s="450"/>
      <c r="LRX103" s="450"/>
      <c r="LRY103" s="450"/>
      <c r="LRZ103" s="450"/>
      <c r="LSA103" s="450"/>
      <c r="LSB103" s="450"/>
      <c r="LSC103" s="450"/>
      <c r="LSD103" s="450"/>
      <c r="LSE103" s="450"/>
      <c r="LSF103" s="450"/>
      <c r="LSG103" s="450"/>
      <c r="LSH103" s="450"/>
      <c r="LSI103" s="450"/>
      <c r="LSJ103" s="450"/>
      <c r="LSK103" s="450"/>
      <c r="LSL103" s="450"/>
      <c r="LSM103" s="450"/>
      <c r="LSN103" s="450"/>
      <c r="LSO103" s="450"/>
      <c r="LSP103" s="450"/>
      <c r="LSQ103" s="450"/>
      <c r="LSR103" s="450"/>
      <c r="LSS103" s="450"/>
      <c r="LST103" s="450"/>
      <c r="LSU103" s="450"/>
      <c r="LSV103" s="450"/>
      <c r="LSW103" s="450"/>
      <c r="LSX103" s="450"/>
      <c r="LSY103" s="450"/>
      <c r="LSZ103" s="450"/>
      <c r="LTA103" s="450"/>
      <c r="LTB103" s="450"/>
      <c r="LTC103" s="450"/>
      <c r="LTD103" s="450"/>
      <c r="LTE103" s="450"/>
      <c r="LTF103" s="450"/>
      <c r="LTG103" s="450"/>
      <c r="LTH103" s="450"/>
      <c r="LTI103" s="450"/>
      <c r="LTJ103" s="450"/>
      <c r="LTK103" s="450"/>
      <c r="LTL103" s="450"/>
      <c r="LTM103" s="450"/>
      <c r="LTN103" s="450"/>
      <c r="LTO103" s="450"/>
      <c r="LTP103" s="450"/>
      <c r="LTQ103" s="450"/>
      <c r="LTR103" s="450"/>
      <c r="LTS103" s="450"/>
      <c r="LTT103" s="450"/>
      <c r="LTU103" s="450"/>
      <c r="LTV103" s="450"/>
      <c r="LTW103" s="450"/>
      <c r="LTX103" s="450"/>
      <c r="LTY103" s="450"/>
      <c r="LTZ103" s="450"/>
      <c r="LUA103" s="450"/>
      <c r="LUB103" s="450"/>
      <c r="LUC103" s="450"/>
      <c r="LUD103" s="450"/>
      <c r="LUE103" s="450"/>
      <c r="LUF103" s="450"/>
      <c r="LUG103" s="450"/>
      <c r="LUH103" s="450"/>
      <c r="LUI103" s="450"/>
      <c r="LUJ103" s="450"/>
      <c r="LUK103" s="450"/>
      <c r="LUL103" s="450"/>
      <c r="LUM103" s="450"/>
      <c r="LUN103" s="450"/>
      <c r="LUO103" s="450"/>
      <c r="LUP103" s="450"/>
      <c r="LUQ103" s="450"/>
      <c r="LUR103" s="450"/>
      <c r="LUS103" s="450"/>
      <c r="LUT103" s="450"/>
      <c r="LUU103" s="450"/>
      <c r="LUV103" s="450"/>
      <c r="LUW103" s="450"/>
      <c r="LUX103" s="450"/>
      <c r="LUY103" s="450"/>
      <c r="LUZ103" s="450"/>
      <c r="LVA103" s="450"/>
      <c r="LVB103" s="450"/>
      <c r="LVC103" s="450"/>
      <c r="LVD103" s="450"/>
      <c r="LVE103" s="450"/>
      <c r="LVF103" s="450"/>
      <c r="LVG103" s="450"/>
      <c r="LVH103" s="450"/>
      <c r="LVI103" s="450"/>
      <c r="LVJ103" s="450"/>
      <c r="LVK103" s="450"/>
      <c r="LVL103" s="450"/>
      <c r="LVM103" s="450"/>
      <c r="LVN103" s="450"/>
      <c r="LVO103" s="450"/>
      <c r="LVP103" s="450"/>
      <c r="LVQ103" s="450"/>
      <c r="LVR103" s="450"/>
      <c r="LVS103" s="450"/>
      <c r="LVT103" s="450"/>
      <c r="LVU103" s="450"/>
      <c r="LVV103" s="450"/>
      <c r="LVW103" s="450"/>
      <c r="LVX103" s="450"/>
      <c r="LVY103" s="450"/>
      <c r="LVZ103" s="450"/>
      <c r="LWA103" s="450"/>
      <c r="LWB103" s="450"/>
      <c r="LWC103" s="450"/>
      <c r="LWD103" s="450"/>
      <c r="LWE103" s="450"/>
      <c r="LWF103" s="450"/>
      <c r="LWG103" s="450"/>
      <c r="LWH103" s="450"/>
      <c r="LWI103" s="450"/>
      <c r="LWJ103" s="450"/>
      <c r="LWK103" s="450"/>
      <c r="LWL103" s="450"/>
      <c r="LWM103" s="450"/>
      <c r="LWN103" s="450"/>
      <c r="LWO103" s="450"/>
      <c r="LWP103" s="450"/>
      <c r="LWQ103" s="450"/>
      <c r="LWR103" s="450"/>
      <c r="LWS103" s="450"/>
      <c r="LWT103" s="450"/>
      <c r="LWU103" s="450"/>
      <c r="LWV103" s="450"/>
      <c r="LWW103" s="450"/>
      <c r="LWX103" s="450"/>
      <c r="LWY103" s="450"/>
      <c r="LWZ103" s="450"/>
      <c r="LXA103" s="450"/>
      <c r="LXB103" s="450"/>
      <c r="LXC103" s="450"/>
      <c r="LXD103" s="450"/>
      <c r="LXE103" s="450"/>
      <c r="LXF103" s="450"/>
      <c r="LXG103" s="450"/>
      <c r="LXH103" s="450"/>
      <c r="LXI103" s="450"/>
      <c r="LXJ103" s="450"/>
      <c r="LXK103" s="450"/>
      <c r="LXL103" s="450"/>
      <c r="LXM103" s="450"/>
      <c r="LXN103" s="450"/>
      <c r="LXO103" s="450"/>
      <c r="LXP103" s="450"/>
      <c r="LXQ103" s="450"/>
      <c r="LXR103" s="450"/>
      <c r="LXS103" s="450"/>
      <c r="LXT103" s="450"/>
      <c r="LXU103" s="450"/>
      <c r="LXV103" s="450"/>
      <c r="LXW103" s="450"/>
      <c r="LXX103" s="450"/>
      <c r="LXY103" s="450"/>
      <c r="LXZ103" s="450"/>
      <c r="LYA103" s="450"/>
      <c r="LYB103" s="450"/>
      <c r="LYC103" s="450"/>
      <c r="LYD103" s="450"/>
      <c r="LYE103" s="450"/>
      <c r="LYF103" s="450"/>
      <c r="LYG103" s="450"/>
      <c r="LYH103" s="450"/>
      <c r="LYI103" s="450"/>
      <c r="LYJ103" s="450"/>
      <c r="LYK103" s="450"/>
      <c r="LYL103" s="450"/>
      <c r="LYM103" s="450"/>
      <c r="LYN103" s="450"/>
      <c r="LYO103" s="450"/>
      <c r="LYP103" s="450"/>
      <c r="LYQ103" s="450"/>
      <c r="LYR103" s="450"/>
      <c r="LYS103" s="450"/>
      <c r="LYT103" s="450"/>
      <c r="LYU103" s="450"/>
      <c r="LYV103" s="450"/>
      <c r="LYW103" s="450"/>
      <c r="LYX103" s="450"/>
      <c r="LYY103" s="450"/>
      <c r="LYZ103" s="450"/>
      <c r="LZA103" s="450"/>
      <c r="LZB103" s="450"/>
      <c r="LZC103" s="450"/>
      <c r="LZD103" s="450"/>
      <c r="LZE103" s="450"/>
      <c r="LZF103" s="450"/>
      <c r="LZG103" s="450"/>
      <c r="LZH103" s="450"/>
      <c r="LZI103" s="450"/>
      <c r="LZJ103" s="450"/>
      <c r="LZK103" s="450"/>
      <c r="LZL103" s="450"/>
      <c r="LZM103" s="450"/>
      <c r="LZN103" s="450"/>
      <c r="LZO103" s="450"/>
      <c r="LZP103" s="450"/>
      <c r="LZQ103" s="450"/>
      <c r="LZR103" s="450"/>
      <c r="LZS103" s="450"/>
      <c r="LZT103" s="450"/>
      <c r="LZU103" s="450"/>
      <c r="LZV103" s="450"/>
      <c r="LZW103" s="450"/>
      <c r="LZX103" s="450"/>
      <c r="LZY103" s="450"/>
      <c r="LZZ103" s="450"/>
      <c r="MAA103" s="450"/>
      <c r="MAB103" s="450"/>
      <c r="MAC103" s="450"/>
      <c r="MAD103" s="450"/>
      <c r="MAE103" s="450"/>
      <c r="MAF103" s="450"/>
      <c r="MAG103" s="450"/>
      <c r="MAH103" s="450"/>
      <c r="MAI103" s="450"/>
      <c r="MAJ103" s="450"/>
      <c r="MAK103" s="450"/>
      <c r="MAL103" s="450"/>
      <c r="MAM103" s="450"/>
      <c r="MAN103" s="450"/>
      <c r="MAO103" s="450"/>
      <c r="MAP103" s="450"/>
      <c r="MAQ103" s="450"/>
      <c r="MAR103" s="450"/>
      <c r="MAS103" s="450"/>
      <c r="MAT103" s="450"/>
      <c r="MAU103" s="450"/>
      <c r="MAV103" s="450"/>
      <c r="MAW103" s="450"/>
      <c r="MAX103" s="450"/>
      <c r="MAY103" s="450"/>
      <c r="MAZ103" s="450"/>
      <c r="MBA103" s="450"/>
      <c r="MBB103" s="450"/>
      <c r="MBC103" s="450"/>
      <c r="MBD103" s="450"/>
      <c r="MBE103" s="450"/>
      <c r="MBF103" s="450"/>
      <c r="MBG103" s="450"/>
      <c r="MBH103" s="450"/>
      <c r="MBI103" s="450"/>
      <c r="MBJ103" s="450"/>
      <c r="MBK103" s="450"/>
      <c r="MBL103" s="450"/>
      <c r="MBM103" s="450"/>
      <c r="MBN103" s="450"/>
      <c r="MBO103" s="450"/>
      <c r="MBP103" s="450"/>
      <c r="MBQ103" s="450"/>
      <c r="MBR103" s="450"/>
      <c r="MBS103" s="450"/>
      <c r="MBT103" s="450"/>
      <c r="MBU103" s="450"/>
      <c r="MBV103" s="450"/>
      <c r="MBW103" s="450"/>
      <c r="MBX103" s="450"/>
      <c r="MBY103" s="450"/>
      <c r="MBZ103" s="450"/>
      <c r="MCA103" s="450"/>
      <c r="MCB103" s="450"/>
      <c r="MCC103" s="450"/>
      <c r="MCD103" s="450"/>
      <c r="MCE103" s="450"/>
      <c r="MCF103" s="450"/>
      <c r="MCG103" s="450"/>
      <c r="MCH103" s="450"/>
      <c r="MCI103" s="450"/>
      <c r="MCJ103" s="450"/>
      <c r="MCK103" s="450"/>
      <c r="MCL103" s="450"/>
      <c r="MCM103" s="450"/>
      <c r="MCN103" s="450"/>
      <c r="MCO103" s="450"/>
      <c r="MCP103" s="450"/>
      <c r="MCQ103" s="450"/>
      <c r="MCR103" s="450"/>
      <c r="MCS103" s="450"/>
      <c r="MCT103" s="450"/>
      <c r="MCU103" s="450"/>
      <c r="MCV103" s="450"/>
      <c r="MCW103" s="450"/>
      <c r="MCX103" s="450"/>
      <c r="MCY103" s="450"/>
      <c r="MCZ103" s="450"/>
      <c r="MDA103" s="450"/>
      <c r="MDB103" s="450"/>
      <c r="MDC103" s="450"/>
      <c r="MDD103" s="450"/>
      <c r="MDE103" s="450"/>
      <c r="MDF103" s="450"/>
      <c r="MDG103" s="450"/>
      <c r="MDH103" s="450"/>
      <c r="MDI103" s="450"/>
      <c r="MDJ103" s="450"/>
      <c r="MDK103" s="450"/>
      <c r="MDL103" s="450"/>
      <c r="MDM103" s="450"/>
      <c r="MDN103" s="450"/>
      <c r="MDO103" s="450"/>
      <c r="MDP103" s="450"/>
      <c r="MDQ103" s="450"/>
      <c r="MDR103" s="450"/>
      <c r="MDS103" s="450"/>
      <c r="MDT103" s="450"/>
      <c r="MDU103" s="450"/>
      <c r="MDV103" s="450"/>
      <c r="MDW103" s="450"/>
      <c r="MDX103" s="450"/>
      <c r="MDY103" s="450"/>
      <c r="MDZ103" s="450"/>
      <c r="MEA103" s="450"/>
      <c r="MEB103" s="450"/>
      <c r="MEC103" s="450"/>
      <c r="MED103" s="450"/>
      <c r="MEE103" s="450"/>
      <c r="MEF103" s="450"/>
      <c r="MEG103" s="450"/>
      <c r="MEH103" s="450"/>
      <c r="MEI103" s="450"/>
      <c r="MEJ103" s="450"/>
      <c r="MEK103" s="450"/>
      <c r="MEL103" s="450"/>
      <c r="MEM103" s="450"/>
      <c r="MEN103" s="450"/>
      <c r="MEO103" s="450"/>
      <c r="MEP103" s="450"/>
      <c r="MEQ103" s="450"/>
      <c r="MER103" s="450"/>
      <c r="MES103" s="450"/>
      <c r="MET103" s="450"/>
      <c r="MEU103" s="450"/>
      <c r="MEV103" s="450"/>
      <c r="MEW103" s="450"/>
      <c r="MEX103" s="450"/>
      <c r="MEY103" s="450"/>
      <c r="MEZ103" s="450"/>
      <c r="MFA103" s="450"/>
      <c r="MFB103" s="450"/>
      <c r="MFC103" s="450"/>
      <c r="MFD103" s="450"/>
      <c r="MFE103" s="450"/>
      <c r="MFF103" s="450"/>
      <c r="MFG103" s="450"/>
      <c r="MFH103" s="450"/>
      <c r="MFI103" s="450"/>
      <c r="MFJ103" s="450"/>
      <c r="MFK103" s="450"/>
      <c r="MFL103" s="450"/>
      <c r="MFM103" s="450"/>
      <c r="MFN103" s="450"/>
      <c r="MFO103" s="450"/>
      <c r="MFP103" s="450"/>
      <c r="MFQ103" s="450"/>
      <c r="MFR103" s="450"/>
      <c r="MFS103" s="450"/>
      <c r="MFT103" s="450"/>
      <c r="MFU103" s="450"/>
      <c r="MFV103" s="450"/>
      <c r="MFW103" s="450"/>
      <c r="MFX103" s="450"/>
      <c r="MFY103" s="450"/>
      <c r="MFZ103" s="450"/>
      <c r="MGA103" s="450"/>
      <c r="MGB103" s="450"/>
      <c r="MGC103" s="450"/>
      <c r="MGD103" s="450"/>
      <c r="MGE103" s="450"/>
      <c r="MGF103" s="450"/>
      <c r="MGG103" s="450"/>
      <c r="MGH103" s="450"/>
      <c r="MGI103" s="450"/>
      <c r="MGJ103" s="450"/>
      <c r="MGK103" s="450"/>
      <c r="MGL103" s="450"/>
      <c r="MGM103" s="450"/>
      <c r="MGN103" s="450"/>
      <c r="MGO103" s="450"/>
      <c r="MGP103" s="450"/>
      <c r="MGQ103" s="450"/>
      <c r="MGR103" s="450"/>
      <c r="MGS103" s="450"/>
      <c r="MGT103" s="450"/>
      <c r="MGU103" s="450"/>
      <c r="MGV103" s="450"/>
      <c r="MGW103" s="450"/>
      <c r="MGX103" s="450"/>
      <c r="MGY103" s="450"/>
      <c r="MGZ103" s="450"/>
      <c r="MHA103" s="450"/>
      <c r="MHB103" s="450"/>
      <c r="MHC103" s="450"/>
      <c r="MHD103" s="450"/>
      <c r="MHE103" s="450"/>
      <c r="MHF103" s="450"/>
      <c r="MHG103" s="450"/>
      <c r="MHH103" s="450"/>
      <c r="MHI103" s="450"/>
      <c r="MHJ103" s="450"/>
      <c r="MHK103" s="450"/>
      <c r="MHL103" s="450"/>
      <c r="MHM103" s="450"/>
      <c r="MHN103" s="450"/>
      <c r="MHO103" s="450"/>
      <c r="MHP103" s="450"/>
      <c r="MHQ103" s="450"/>
      <c r="MHR103" s="450"/>
      <c r="MHS103" s="450"/>
      <c r="MHT103" s="450"/>
      <c r="MHU103" s="450"/>
      <c r="MHV103" s="450"/>
      <c r="MHW103" s="450"/>
      <c r="MHX103" s="450"/>
      <c r="MHY103" s="450"/>
      <c r="MHZ103" s="450"/>
      <c r="MIA103" s="450"/>
      <c r="MIB103" s="450"/>
      <c r="MIC103" s="450"/>
      <c r="MID103" s="450"/>
      <c r="MIE103" s="450"/>
      <c r="MIF103" s="450"/>
      <c r="MIG103" s="450"/>
      <c r="MIH103" s="450"/>
      <c r="MII103" s="450"/>
      <c r="MIJ103" s="450"/>
      <c r="MIK103" s="450"/>
      <c r="MIL103" s="450"/>
      <c r="MIM103" s="450"/>
      <c r="MIN103" s="450"/>
      <c r="MIO103" s="450"/>
      <c r="MIP103" s="450"/>
      <c r="MIQ103" s="450"/>
      <c r="MIR103" s="450"/>
      <c r="MIS103" s="450"/>
      <c r="MIT103" s="450"/>
      <c r="MIU103" s="450"/>
      <c r="MIV103" s="450"/>
      <c r="MIW103" s="450"/>
      <c r="MIX103" s="450"/>
      <c r="MIY103" s="450"/>
      <c r="MIZ103" s="450"/>
      <c r="MJA103" s="450"/>
      <c r="MJB103" s="450"/>
      <c r="MJC103" s="450"/>
      <c r="MJD103" s="450"/>
      <c r="MJE103" s="450"/>
      <c r="MJF103" s="450"/>
      <c r="MJG103" s="450"/>
      <c r="MJH103" s="450"/>
      <c r="MJI103" s="450"/>
      <c r="MJJ103" s="450"/>
      <c r="MJK103" s="450"/>
      <c r="MJL103" s="450"/>
      <c r="MJM103" s="450"/>
      <c r="MJN103" s="450"/>
      <c r="MJO103" s="450"/>
      <c r="MJP103" s="450"/>
      <c r="MJQ103" s="450"/>
      <c r="MJR103" s="450"/>
      <c r="MJS103" s="450"/>
      <c r="MJT103" s="450"/>
      <c r="MJU103" s="450"/>
      <c r="MJV103" s="450"/>
      <c r="MJW103" s="450"/>
      <c r="MJX103" s="450"/>
      <c r="MJY103" s="450"/>
      <c r="MJZ103" s="450"/>
      <c r="MKA103" s="450"/>
      <c r="MKB103" s="450"/>
      <c r="MKC103" s="450"/>
      <c r="MKD103" s="450"/>
      <c r="MKE103" s="450"/>
      <c r="MKF103" s="450"/>
      <c r="MKG103" s="450"/>
      <c r="MKH103" s="450"/>
      <c r="MKI103" s="450"/>
      <c r="MKJ103" s="450"/>
      <c r="MKK103" s="450"/>
      <c r="MKL103" s="450"/>
      <c r="MKM103" s="450"/>
      <c r="MKN103" s="450"/>
      <c r="MKO103" s="450"/>
      <c r="MKP103" s="450"/>
      <c r="MKQ103" s="450"/>
      <c r="MKR103" s="450"/>
      <c r="MKS103" s="450"/>
      <c r="MKT103" s="450"/>
      <c r="MKU103" s="450"/>
      <c r="MKV103" s="450"/>
      <c r="MKW103" s="450"/>
      <c r="MKX103" s="450"/>
      <c r="MKY103" s="450"/>
      <c r="MKZ103" s="450"/>
      <c r="MLA103" s="450"/>
      <c r="MLB103" s="450"/>
      <c r="MLC103" s="450"/>
      <c r="MLD103" s="450"/>
      <c r="MLE103" s="450"/>
      <c r="MLF103" s="450"/>
      <c r="MLG103" s="450"/>
      <c r="MLH103" s="450"/>
      <c r="MLI103" s="450"/>
      <c r="MLJ103" s="450"/>
      <c r="MLK103" s="450"/>
      <c r="MLL103" s="450"/>
      <c r="MLM103" s="450"/>
      <c r="MLN103" s="450"/>
      <c r="MLO103" s="450"/>
      <c r="MLP103" s="450"/>
      <c r="MLQ103" s="450"/>
      <c r="MLR103" s="450"/>
      <c r="MLS103" s="450"/>
      <c r="MLT103" s="450"/>
      <c r="MLU103" s="450"/>
      <c r="MLV103" s="450"/>
      <c r="MLW103" s="450"/>
      <c r="MLX103" s="450"/>
      <c r="MLY103" s="450"/>
      <c r="MLZ103" s="450"/>
      <c r="MMA103" s="450"/>
      <c r="MMB103" s="450"/>
      <c r="MMC103" s="450"/>
      <c r="MMD103" s="450"/>
      <c r="MME103" s="450"/>
      <c r="MMF103" s="450"/>
      <c r="MMG103" s="450"/>
      <c r="MMH103" s="450"/>
      <c r="MMI103" s="450"/>
      <c r="MMJ103" s="450"/>
      <c r="MMK103" s="450"/>
      <c r="MML103" s="450"/>
      <c r="MMM103" s="450"/>
      <c r="MMN103" s="450"/>
      <c r="MMO103" s="450"/>
      <c r="MMP103" s="450"/>
      <c r="MMQ103" s="450"/>
      <c r="MMR103" s="450"/>
      <c r="MMS103" s="450"/>
      <c r="MMT103" s="450"/>
      <c r="MMU103" s="450"/>
      <c r="MMV103" s="450"/>
      <c r="MMW103" s="450"/>
      <c r="MMX103" s="450"/>
      <c r="MMY103" s="450"/>
      <c r="MMZ103" s="450"/>
      <c r="MNA103" s="450"/>
      <c r="MNB103" s="450"/>
      <c r="MNC103" s="450"/>
      <c r="MND103" s="450"/>
      <c r="MNE103" s="450"/>
      <c r="MNF103" s="450"/>
      <c r="MNG103" s="450"/>
      <c r="MNH103" s="450"/>
      <c r="MNI103" s="450"/>
      <c r="MNJ103" s="450"/>
      <c r="MNK103" s="450"/>
      <c r="MNL103" s="450"/>
      <c r="MNM103" s="450"/>
      <c r="MNN103" s="450"/>
      <c r="MNO103" s="450"/>
      <c r="MNP103" s="450"/>
      <c r="MNQ103" s="450"/>
      <c r="MNR103" s="450"/>
      <c r="MNS103" s="450"/>
      <c r="MNT103" s="450"/>
      <c r="MNU103" s="450"/>
      <c r="MNV103" s="450"/>
      <c r="MNW103" s="450"/>
      <c r="MNX103" s="450"/>
      <c r="MNY103" s="450"/>
      <c r="MNZ103" s="450"/>
      <c r="MOA103" s="450"/>
      <c r="MOB103" s="450"/>
      <c r="MOC103" s="450"/>
      <c r="MOD103" s="450"/>
      <c r="MOE103" s="450"/>
      <c r="MOF103" s="450"/>
      <c r="MOG103" s="450"/>
      <c r="MOH103" s="450"/>
      <c r="MOI103" s="450"/>
      <c r="MOJ103" s="450"/>
      <c r="MOK103" s="450"/>
      <c r="MOL103" s="450"/>
      <c r="MOM103" s="450"/>
      <c r="MON103" s="450"/>
      <c r="MOO103" s="450"/>
      <c r="MOP103" s="450"/>
      <c r="MOQ103" s="450"/>
      <c r="MOR103" s="450"/>
      <c r="MOS103" s="450"/>
      <c r="MOT103" s="450"/>
      <c r="MOU103" s="450"/>
      <c r="MOV103" s="450"/>
      <c r="MOW103" s="450"/>
      <c r="MOX103" s="450"/>
      <c r="MOY103" s="450"/>
      <c r="MOZ103" s="450"/>
      <c r="MPA103" s="450"/>
      <c r="MPB103" s="450"/>
      <c r="MPC103" s="450"/>
      <c r="MPD103" s="450"/>
      <c r="MPE103" s="450"/>
      <c r="MPF103" s="450"/>
      <c r="MPG103" s="450"/>
      <c r="MPH103" s="450"/>
      <c r="MPI103" s="450"/>
      <c r="MPJ103" s="450"/>
      <c r="MPK103" s="450"/>
      <c r="MPL103" s="450"/>
      <c r="MPM103" s="450"/>
      <c r="MPN103" s="450"/>
      <c r="MPO103" s="450"/>
      <c r="MPP103" s="450"/>
      <c r="MPQ103" s="450"/>
      <c r="MPR103" s="450"/>
      <c r="MPS103" s="450"/>
      <c r="MPT103" s="450"/>
      <c r="MPU103" s="450"/>
      <c r="MPV103" s="450"/>
      <c r="MPW103" s="450"/>
      <c r="MPX103" s="450"/>
      <c r="MPY103" s="450"/>
      <c r="MPZ103" s="450"/>
      <c r="MQA103" s="450"/>
      <c r="MQB103" s="450"/>
      <c r="MQC103" s="450"/>
      <c r="MQD103" s="450"/>
      <c r="MQE103" s="450"/>
      <c r="MQF103" s="450"/>
      <c r="MQG103" s="450"/>
      <c r="MQH103" s="450"/>
      <c r="MQI103" s="450"/>
      <c r="MQJ103" s="450"/>
      <c r="MQK103" s="450"/>
      <c r="MQL103" s="450"/>
      <c r="MQM103" s="450"/>
      <c r="MQN103" s="450"/>
      <c r="MQO103" s="450"/>
      <c r="MQP103" s="450"/>
      <c r="MQQ103" s="450"/>
      <c r="MQR103" s="450"/>
      <c r="MQS103" s="450"/>
      <c r="MQT103" s="450"/>
      <c r="MQU103" s="450"/>
      <c r="MQV103" s="450"/>
      <c r="MQW103" s="450"/>
      <c r="MQX103" s="450"/>
      <c r="MQY103" s="450"/>
      <c r="MQZ103" s="450"/>
      <c r="MRA103" s="450"/>
      <c r="MRB103" s="450"/>
      <c r="MRC103" s="450"/>
      <c r="MRD103" s="450"/>
      <c r="MRE103" s="450"/>
      <c r="MRF103" s="450"/>
      <c r="MRG103" s="450"/>
      <c r="MRH103" s="450"/>
      <c r="MRI103" s="450"/>
      <c r="MRJ103" s="450"/>
      <c r="MRK103" s="450"/>
      <c r="MRL103" s="450"/>
      <c r="MRM103" s="450"/>
      <c r="MRN103" s="450"/>
      <c r="MRO103" s="450"/>
      <c r="MRP103" s="450"/>
      <c r="MRQ103" s="450"/>
      <c r="MRR103" s="450"/>
      <c r="MRS103" s="450"/>
      <c r="MRT103" s="450"/>
      <c r="MRU103" s="450"/>
      <c r="MRV103" s="450"/>
      <c r="MRW103" s="450"/>
      <c r="MRX103" s="450"/>
      <c r="MRY103" s="450"/>
      <c r="MRZ103" s="450"/>
      <c r="MSA103" s="450"/>
      <c r="MSB103" s="450"/>
      <c r="MSC103" s="450"/>
      <c r="MSD103" s="450"/>
      <c r="MSE103" s="450"/>
      <c r="MSF103" s="450"/>
      <c r="MSG103" s="450"/>
      <c r="MSH103" s="450"/>
      <c r="MSI103" s="450"/>
      <c r="MSJ103" s="450"/>
      <c r="MSK103" s="450"/>
      <c r="MSL103" s="450"/>
      <c r="MSM103" s="450"/>
      <c r="MSN103" s="450"/>
      <c r="MSO103" s="450"/>
      <c r="MSP103" s="450"/>
      <c r="MSQ103" s="450"/>
      <c r="MSR103" s="450"/>
      <c r="MSS103" s="450"/>
      <c r="MST103" s="450"/>
      <c r="MSU103" s="450"/>
      <c r="MSV103" s="450"/>
      <c r="MSW103" s="450"/>
      <c r="MSX103" s="450"/>
      <c r="MSY103" s="450"/>
      <c r="MSZ103" s="450"/>
      <c r="MTA103" s="450"/>
      <c r="MTB103" s="450"/>
      <c r="MTC103" s="450"/>
      <c r="MTD103" s="450"/>
      <c r="MTE103" s="450"/>
      <c r="MTF103" s="450"/>
      <c r="MTG103" s="450"/>
      <c r="MTH103" s="450"/>
      <c r="MTI103" s="450"/>
      <c r="MTJ103" s="450"/>
      <c r="MTK103" s="450"/>
      <c r="MTL103" s="450"/>
      <c r="MTM103" s="450"/>
      <c r="MTN103" s="450"/>
      <c r="MTO103" s="450"/>
      <c r="MTP103" s="450"/>
      <c r="MTQ103" s="450"/>
      <c r="MTR103" s="450"/>
      <c r="MTS103" s="450"/>
      <c r="MTT103" s="450"/>
      <c r="MTU103" s="450"/>
      <c r="MTV103" s="450"/>
      <c r="MTW103" s="450"/>
      <c r="MTX103" s="450"/>
      <c r="MTY103" s="450"/>
      <c r="MTZ103" s="450"/>
      <c r="MUA103" s="450"/>
      <c r="MUB103" s="450"/>
      <c r="MUC103" s="450"/>
      <c r="MUD103" s="450"/>
      <c r="MUE103" s="450"/>
      <c r="MUF103" s="450"/>
      <c r="MUG103" s="450"/>
      <c r="MUH103" s="450"/>
      <c r="MUI103" s="450"/>
      <c r="MUJ103" s="450"/>
      <c r="MUK103" s="450"/>
      <c r="MUL103" s="450"/>
      <c r="MUM103" s="450"/>
      <c r="MUN103" s="450"/>
      <c r="MUO103" s="450"/>
      <c r="MUP103" s="450"/>
      <c r="MUQ103" s="450"/>
      <c r="MUR103" s="450"/>
      <c r="MUS103" s="450"/>
      <c r="MUT103" s="450"/>
      <c r="MUU103" s="450"/>
      <c r="MUV103" s="450"/>
      <c r="MUW103" s="450"/>
      <c r="MUX103" s="450"/>
      <c r="MUY103" s="450"/>
      <c r="MUZ103" s="450"/>
      <c r="MVA103" s="450"/>
      <c r="MVB103" s="450"/>
      <c r="MVC103" s="450"/>
      <c r="MVD103" s="450"/>
      <c r="MVE103" s="450"/>
      <c r="MVF103" s="450"/>
      <c r="MVG103" s="450"/>
      <c r="MVH103" s="450"/>
      <c r="MVI103" s="450"/>
      <c r="MVJ103" s="450"/>
      <c r="MVK103" s="450"/>
      <c r="MVL103" s="450"/>
      <c r="MVM103" s="450"/>
      <c r="MVN103" s="450"/>
      <c r="MVO103" s="450"/>
      <c r="MVP103" s="450"/>
      <c r="MVQ103" s="450"/>
      <c r="MVR103" s="450"/>
      <c r="MVS103" s="450"/>
      <c r="MVT103" s="450"/>
      <c r="MVU103" s="450"/>
      <c r="MVV103" s="450"/>
      <c r="MVW103" s="450"/>
      <c r="MVX103" s="450"/>
      <c r="MVY103" s="450"/>
      <c r="MVZ103" s="450"/>
      <c r="MWA103" s="450"/>
      <c r="MWB103" s="450"/>
      <c r="MWC103" s="450"/>
      <c r="MWD103" s="450"/>
      <c r="MWE103" s="450"/>
      <c r="MWF103" s="450"/>
      <c r="MWG103" s="450"/>
      <c r="MWH103" s="450"/>
      <c r="MWI103" s="450"/>
      <c r="MWJ103" s="450"/>
      <c r="MWK103" s="450"/>
      <c r="MWL103" s="450"/>
      <c r="MWM103" s="450"/>
      <c r="MWN103" s="450"/>
      <c r="MWO103" s="450"/>
      <c r="MWP103" s="450"/>
      <c r="MWQ103" s="450"/>
      <c r="MWR103" s="450"/>
      <c r="MWS103" s="450"/>
      <c r="MWT103" s="450"/>
      <c r="MWU103" s="450"/>
      <c r="MWV103" s="450"/>
      <c r="MWW103" s="450"/>
      <c r="MWX103" s="450"/>
      <c r="MWY103" s="450"/>
      <c r="MWZ103" s="450"/>
      <c r="MXA103" s="450"/>
      <c r="MXB103" s="450"/>
      <c r="MXC103" s="450"/>
      <c r="MXD103" s="450"/>
      <c r="MXE103" s="450"/>
      <c r="MXF103" s="450"/>
      <c r="MXG103" s="450"/>
      <c r="MXH103" s="450"/>
      <c r="MXI103" s="450"/>
      <c r="MXJ103" s="450"/>
      <c r="MXK103" s="450"/>
      <c r="MXL103" s="450"/>
      <c r="MXM103" s="450"/>
      <c r="MXN103" s="450"/>
      <c r="MXO103" s="450"/>
      <c r="MXP103" s="450"/>
      <c r="MXQ103" s="450"/>
      <c r="MXR103" s="450"/>
      <c r="MXS103" s="450"/>
      <c r="MXT103" s="450"/>
      <c r="MXU103" s="450"/>
      <c r="MXV103" s="450"/>
      <c r="MXW103" s="450"/>
      <c r="MXX103" s="450"/>
      <c r="MXY103" s="450"/>
      <c r="MXZ103" s="450"/>
      <c r="MYA103" s="450"/>
      <c r="MYB103" s="450"/>
      <c r="MYC103" s="450"/>
      <c r="MYD103" s="450"/>
      <c r="MYE103" s="450"/>
      <c r="MYF103" s="450"/>
      <c r="MYG103" s="450"/>
      <c r="MYH103" s="450"/>
      <c r="MYI103" s="450"/>
      <c r="MYJ103" s="450"/>
      <c r="MYK103" s="450"/>
      <c r="MYL103" s="450"/>
      <c r="MYM103" s="450"/>
      <c r="MYN103" s="450"/>
      <c r="MYO103" s="450"/>
      <c r="MYP103" s="450"/>
      <c r="MYQ103" s="450"/>
      <c r="MYR103" s="450"/>
      <c r="MYS103" s="450"/>
      <c r="MYT103" s="450"/>
      <c r="MYU103" s="450"/>
      <c r="MYV103" s="450"/>
      <c r="MYW103" s="450"/>
      <c r="MYX103" s="450"/>
      <c r="MYY103" s="450"/>
      <c r="MYZ103" s="450"/>
      <c r="MZA103" s="450"/>
      <c r="MZB103" s="450"/>
      <c r="MZC103" s="450"/>
      <c r="MZD103" s="450"/>
      <c r="MZE103" s="450"/>
      <c r="MZF103" s="450"/>
      <c r="MZG103" s="450"/>
      <c r="MZH103" s="450"/>
      <c r="MZI103" s="450"/>
      <c r="MZJ103" s="450"/>
      <c r="MZK103" s="450"/>
      <c r="MZL103" s="450"/>
      <c r="MZM103" s="450"/>
      <c r="MZN103" s="450"/>
      <c r="MZO103" s="450"/>
      <c r="MZP103" s="450"/>
      <c r="MZQ103" s="450"/>
      <c r="MZR103" s="450"/>
      <c r="MZS103" s="450"/>
      <c r="MZT103" s="450"/>
      <c r="MZU103" s="450"/>
      <c r="MZV103" s="450"/>
      <c r="MZW103" s="450"/>
      <c r="MZX103" s="450"/>
      <c r="MZY103" s="450"/>
      <c r="MZZ103" s="450"/>
      <c r="NAA103" s="450"/>
      <c r="NAB103" s="450"/>
      <c r="NAC103" s="450"/>
      <c r="NAD103" s="450"/>
      <c r="NAE103" s="450"/>
      <c r="NAF103" s="450"/>
      <c r="NAG103" s="450"/>
      <c r="NAH103" s="450"/>
      <c r="NAI103" s="450"/>
      <c r="NAJ103" s="450"/>
      <c r="NAK103" s="450"/>
      <c r="NAL103" s="450"/>
      <c r="NAM103" s="450"/>
      <c r="NAN103" s="450"/>
      <c r="NAO103" s="450"/>
      <c r="NAP103" s="450"/>
      <c r="NAQ103" s="450"/>
      <c r="NAR103" s="450"/>
      <c r="NAS103" s="450"/>
      <c r="NAT103" s="450"/>
      <c r="NAU103" s="450"/>
      <c r="NAV103" s="450"/>
      <c r="NAW103" s="450"/>
      <c r="NAX103" s="450"/>
      <c r="NAY103" s="450"/>
      <c r="NAZ103" s="450"/>
      <c r="NBA103" s="450"/>
      <c r="NBB103" s="450"/>
      <c r="NBC103" s="450"/>
      <c r="NBD103" s="450"/>
      <c r="NBE103" s="450"/>
      <c r="NBF103" s="450"/>
      <c r="NBG103" s="450"/>
      <c r="NBH103" s="450"/>
      <c r="NBI103" s="450"/>
      <c r="NBJ103" s="450"/>
      <c r="NBK103" s="450"/>
      <c r="NBL103" s="450"/>
      <c r="NBM103" s="450"/>
      <c r="NBN103" s="450"/>
      <c r="NBO103" s="450"/>
      <c r="NBP103" s="450"/>
      <c r="NBQ103" s="450"/>
      <c r="NBR103" s="450"/>
      <c r="NBS103" s="450"/>
      <c r="NBT103" s="450"/>
      <c r="NBU103" s="450"/>
      <c r="NBV103" s="450"/>
      <c r="NBW103" s="450"/>
      <c r="NBX103" s="450"/>
      <c r="NBY103" s="450"/>
      <c r="NBZ103" s="450"/>
      <c r="NCA103" s="450"/>
      <c r="NCB103" s="450"/>
      <c r="NCC103" s="450"/>
      <c r="NCD103" s="450"/>
      <c r="NCE103" s="450"/>
      <c r="NCF103" s="450"/>
      <c r="NCG103" s="450"/>
      <c r="NCH103" s="450"/>
      <c r="NCI103" s="450"/>
      <c r="NCJ103" s="450"/>
      <c r="NCK103" s="450"/>
      <c r="NCL103" s="450"/>
      <c r="NCM103" s="450"/>
      <c r="NCN103" s="450"/>
      <c r="NCO103" s="450"/>
      <c r="NCP103" s="450"/>
      <c r="NCQ103" s="450"/>
      <c r="NCR103" s="450"/>
      <c r="NCS103" s="450"/>
      <c r="NCT103" s="450"/>
      <c r="NCU103" s="450"/>
      <c r="NCV103" s="450"/>
      <c r="NCW103" s="450"/>
      <c r="NCX103" s="450"/>
      <c r="NCY103" s="450"/>
      <c r="NCZ103" s="450"/>
      <c r="NDA103" s="450"/>
      <c r="NDB103" s="450"/>
      <c r="NDC103" s="450"/>
      <c r="NDD103" s="450"/>
      <c r="NDE103" s="450"/>
      <c r="NDF103" s="450"/>
      <c r="NDG103" s="450"/>
      <c r="NDH103" s="450"/>
      <c r="NDI103" s="450"/>
      <c r="NDJ103" s="450"/>
      <c r="NDK103" s="450"/>
      <c r="NDL103" s="450"/>
      <c r="NDM103" s="450"/>
      <c r="NDN103" s="450"/>
      <c r="NDO103" s="450"/>
      <c r="NDP103" s="450"/>
      <c r="NDQ103" s="450"/>
      <c r="NDR103" s="450"/>
      <c r="NDS103" s="450"/>
      <c r="NDT103" s="450"/>
      <c r="NDU103" s="450"/>
      <c r="NDV103" s="450"/>
      <c r="NDW103" s="450"/>
      <c r="NDX103" s="450"/>
      <c r="NDY103" s="450"/>
      <c r="NDZ103" s="450"/>
      <c r="NEA103" s="450"/>
      <c r="NEB103" s="450"/>
      <c r="NEC103" s="450"/>
      <c r="NED103" s="450"/>
      <c r="NEE103" s="450"/>
      <c r="NEF103" s="450"/>
      <c r="NEG103" s="450"/>
      <c r="NEH103" s="450"/>
      <c r="NEI103" s="450"/>
      <c r="NEJ103" s="450"/>
      <c r="NEK103" s="450"/>
      <c r="NEL103" s="450"/>
      <c r="NEM103" s="450"/>
      <c r="NEN103" s="450"/>
      <c r="NEO103" s="450"/>
      <c r="NEP103" s="450"/>
      <c r="NEQ103" s="450"/>
      <c r="NER103" s="450"/>
      <c r="NES103" s="450"/>
      <c r="NET103" s="450"/>
      <c r="NEU103" s="450"/>
      <c r="NEV103" s="450"/>
      <c r="NEW103" s="450"/>
      <c r="NEX103" s="450"/>
      <c r="NEY103" s="450"/>
      <c r="NEZ103" s="450"/>
      <c r="NFA103" s="450"/>
      <c r="NFB103" s="450"/>
      <c r="NFC103" s="450"/>
      <c r="NFD103" s="450"/>
      <c r="NFE103" s="450"/>
      <c r="NFF103" s="450"/>
      <c r="NFG103" s="450"/>
      <c r="NFH103" s="450"/>
      <c r="NFI103" s="450"/>
      <c r="NFJ103" s="450"/>
      <c r="NFK103" s="450"/>
      <c r="NFL103" s="450"/>
      <c r="NFM103" s="450"/>
      <c r="NFN103" s="450"/>
      <c r="NFO103" s="450"/>
      <c r="NFP103" s="450"/>
      <c r="NFQ103" s="450"/>
      <c r="NFR103" s="450"/>
      <c r="NFS103" s="450"/>
      <c r="NFT103" s="450"/>
      <c r="NFU103" s="450"/>
      <c r="NFV103" s="450"/>
      <c r="NFW103" s="450"/>
      <c r="NFX103" s="450"/>
      <c r="NFY103" s="450"/>
      <c r="NFZ103" s="450"/>
      <c r="NGA103" s="450"/>
      <c r="NGB103" s="450"/>
      <c r="NGC103" s="450"/>
      <c r="NGD103" s="450"/>
      <c r="NGE103" s="450"/>
      <c r="NGF103" s="450"/>
      <c r="NGG103" s="450"/>
      <c r="NGH103" s="450"/>
      <c r="NGI103" s="450"/>
      <c r="NGJ103" s="450"/>
      <c r="NGK103" s="450"/>
      <c r="NGL103" s="450"/>
      <c r="NGM103" s="450"/>
      <c r="NGN103" s="450"/>
      <c r="NGO103" s="450"/>
      <c r="NGP103" s="450"/>
      <c r="NGQ103" s="450"/>
      <c r="NGR103" s="450"/>
      <c r="NGS103" s="450"/>
      <c r="NGT103" s="450"/>
      <c r="NGU103" s="450"/>
      <c r="NGV103" s="450"/>
      <c r="NGW103" s="450"/>
      <c r="NGX103" s="450"/>
      <c r="NGY103" s="450"/>
      <c r="NGZ103" s="450"/>
      <c r="NHA103" s="450"/>
      <c r="NHB103" s="450"/>
      <c r="NHC103" s="450"/>
      <c r="NHD103" s="450"/>
      <c r="NHE103" s="450"/>
      <c r="NHF103" s="450"/>
      <c r="NHG103" s="450"/>
      <c r="NHH103" s="450"/>
      <c r="NHI103" s="450"/>
      <c r="NHJ103" s="450"/>
      <c r="NHK103" s="450"/>
      <c r="NHL103" s="450"/>
      <c r="NHM103" s="450"/>
      <c r="NHN103" s="450"/>
      <c r="NHO103" s="450"/>
      <c r="NHP103" s="450"/>
      <c r="NHQ103" s="450"/>
      <c r="NHR103" s="450"/>
      <c r="NHS103" s="450"/>
      <c r="NHT103" s="450"/>
      <c r="NHU103" s="450"/>
      <c r="NHV103" s="450"/>
      <c r="NHW103" s="450"/>
      <c r="NHX103" s="450"/>
      <c r="NHY103" s="450"/>
      <c r="NHZ103" s="450"/>
      <c r="NIA103" s="450"/>
      <c r="NIB103" s="450"/>
      <c r="NIC103" s="450"/>
      <c r="NID103" s="450"/>
      <c r="NIE103" s="450"/>
      <c r="NIF103" s="450"/>
      <c r="NIG103" s="450"/>
      <c r="NIH103" s="450"/>
      <c r="NII103" s="450"/>
      <c r="NIJ103" s="450"/>
      <c r="NIK103" s="450"/>
      <c r="NIL103" s="450"/>
      <c r="NIM103" s="450"/>
      <c r="NIN103" s="450"/>
      <c r="NIO103" s="450"/>
      <c r="NIP103" s="450"/>
      <c r="NIQ103" s="450"/>
      <c r="NIR103" s="450"/>
      <c r="NIS103" s="450"/>
      <c r="NIT103" s="450"/>
      <c r="NIU103" s="450"/>
      <c r="NIV103" s="450"/>
      <c r="NIW103" s="450"/>
      <c r="NIX103" s="450"/>
      <c r="NIY103" s="450"/>
      <c r="NIZ103" s="450"/>
      <c r="NJA103" s="450"/>
      <c r="NJB103" s="450"/>
      <c r="NJC103" s="450"/>
      <c r="NJD103" s="450"/>
      <c r="NJE103" s="450"/>
      <c r="NJF103" s="450"/>
      <c r="NJG103" s="450"/>
      <c r="NJH103" s="450"/>
      <c r="NJI103" s="450"/>
      <c r="NJJ103" s="450"/>
      <c r="NJK103" s="450"/>
      <c r="NJL103" s="450"/>
      <c r="NJM103" s="450"/>
      <c r="NJN103" s="450"/>
      <c r="NJO103" s="450"/>
      <c r="NJP103" s="450"/>
      <c r="NJQ103" s="450"/>
      <c r="NJR103" s="450"/>
      <c r="NJS103" s="450"/>
      <c r="NJT103" s="450"/>
      <c r="NJU103" s="450"/>
      <c r="NJV103" s="450"/>
      <c r="NJW103" s="450"/>
      <c r="NJX103" s="450"/>
      <c r="NJY103" s="450"/>
      <c r="NJZ103" s="450"/>
      <c r="NKA103" s="450"/>
      <c r="NKB103" s="450"/>
      <c r="NKC103" s="450"/>
      <c r="NKD103" s="450"/>
      <c r="NKE103" s="450"/>
      <c r="NKF103" s="450"/>
      <c r="NKG103" s="450"/>
      <c r="NKH103" s="450"/>
      <c r="NKI103" s="450"/>
      <c r="NKJ103" s="450"/>
      <c r="NKK103" s="450"/>
      <c r="NKL103" s="450"/>
      <c r="NKM103" s="450"/>
      <c r="NKN103" s="450"/>
      <c r="NKO103" s="450"/>
      <c r="NKP103" s="450"/>
      <c r="NKQ103" s="450"/>
      <c r="NKR103" s="450"/>
      <c r="NKS103" s="450"/>
      <c r="NKT103" s="450"/>
      <c r="NKU103" s="450"/>
      <c r="NKV103" s="450"/>
      <c r="NKW103" s="450"/>
      <c r="NKX103" s="450"/>
      <c r="NKY103" s="450"/>
      <c r="NKZ103" s="450"/>
      <c r="NLA103" s="450"/>
      <c r="NLB103" s="450"/>
      <c r="NLC103" s="450"/>
      <c r="NLD103" s="450"/>
      <c r="NLE103" s="450"/>
      <c r="NLF103" s="450"/>
      <c r="NLG103" s="450"/>
      <c r="NLH103" s="450"/>
      <c r="NLI103" s="450"/>
      <c r="NLJ103" s="450"/>
      <c r="NLK103" s="450"/>
      <c r="NLL103" s="450"/>
      <c r="NLM103" s="450"/>
      <c r="NLN103" s="450"/>
      <c r="NLO103" s="450"/>
      <c r="NLP103" s="450"/>
      <c r="NLQ103" s="450"/>
      <c r="NLR103" s="450"/>
      <c r="NLS103" s="450"/>
      <c r="NLT103" s="450"/>
      <c r="NLU103" s="450"/>
      <c r="NLV103" s="450"/>
      <c r="NLW103" s="450"/>
      <c r="NLX103" s="450"/>
      <c r="NLY103" s="450"/>
      <c r="NLZ103" s="450"/>
      <c r="NMA103" s="450"/>
      <c r="NMB103" s="450"/>
      <c r="NMC103" s="450"/>
      <c r="NMD103" s="450"/>
      <c r="NME103" s="450"/>
      <c r="NMF103" s="450"/>
      <c r="NMG103" s="450"/>
      <c r="NMH103" s="450"/>
      <c r="NMI103" s="450"/>
      <c r="NMJ103" s="450"/>
      <c r="NMK103" s="450"/>
      <c r="NML103" s="450"/>
      <c r="NMM103" s="450"/>
      <c r="NMN103" s="450"/>
      <c r="NMO103" s="450"/>
      <c r="NMP103" s="450"/>
      <c r="NMQ103" s="450"/>
      <c r="NMR103" s="450"/>
      <c r="NMS103" s="450"/>
      <c r="NMT103" s="450"/>
      <c r="NMU103" s="450"/>
      <c r="NMV103" s="450"/>
      <c r="NMW103" s="450"/>
      <c r="NMX103" s="450"/>
      <c r="NMY103" s="450"/>
      <c r="NMZ103" s="450"/>
      <c r="NNA103" s="450"/>
      <c r="NNB103" s="450"/>
      <c r="NNC103" s="450"/>
      <c r="NND103" s="450"/>
      <c r="NNE103" s="450"/>
      <c r="NNF103" s="450"/>
      <c r="NNG103" s="450"/>
      <c r="NNH103" s="450"/>
      <c r="NNI103" s="450"/>
      <c r="NNJ103" s="450"/>
      <c r="NNK103" s="450"/>
      <c r="NNL103" s="450"/>
      <c r="NNM103" s="450"/>
      <c r="NNN103" s="450"/>
      <c r="NNO103" s="450"/>
      <c r="NNP103" s="450"/>
      <c r="NNQ103" s="450"/>
      <c r="NNR103" s="450"/>
      <c r="NNS103" s="450"/>
      <c r="NNT103" s="450"/>
      <c r="NNU103" s="450"/>
      <c r="NNV103" s="450"/>
      <c r="NNW103" s="450"/>
      <c r="NNX103" s="450"/>
      <c r="NNY103" s="450"/>
      <c r="NNZ103" s="450"/>
      <c r="NOA103" s="450"/>
      <c r="NOB103" s="450"/>
      <c r="NOC103" s="450"/>
      <c r="NOD103" s="450"/>
      <c r="NOE103" s="450"/>
      <c r="NOF103" s="450"/>
      <c r="NOG103" s="450"/>
      <c r="NOH103" s="450"/>
      <c r="NOI103" s="450"/>
      <c r="NOJ103" s="450"/>
      <c r="NOK103" s="450"/>
      <c r="NOL103" s="450"/>
      <c r="NOM103" s="450"/>
      <c r="NON103" s="450"/>
      <c r="NOO103" s="450"/>
      <c r="NOP103" s="450"/>
      <c r="NOQ103" s="450"/>
      <c r="NOR103" s="450"/>
      <c r="NOS103" s="450"/>
      <c r="NOT103" s="450"/>
      <c r="NOU103" s="450"/>
      <c r="NOV103" s="450"/>
      <c r="NOW103" s="450"/>
      <c r="NOX103" s="450"/>
      <c r="NOY103" s="450"/>
      <c r="NOZ103" s="450"/>
      <c r="NPA103" s="450"/>
      <c r="NPB103" s="450"/>
      <c r="NPC103" s="450"/>
      <c r="NPD103" s="450"/>
      <c r="NPE103" s="450"/>
      <c r="NPF103" s="450"/>
      <c r="NPG103" s="450"/>
      <c r="NPH103" s="450"/>
      <c r="NPI103" s="450"/>
      <c r="NPJ103" s="450"/>
      <c r="NPK103" s="450"/>
      <c r="NPL103" s="450"/>
      <c r="NPM103" s="450"/>
      <c r="NPN103" s="450"/>
      <c r="NPO103" s="450"/>
      <c r="NPP103" s="450"/>
      <c r="NPQ103" s="450"/>
      <c r="NPR103" s="450"/>
      <c r="NPS103" s="450"/>
      <c r="NPT103" s="450"/>
      <c r="NPU103" s="450"/>
      <c r="NPV103" s="450"/>
      <c r="NPW103" s="450"/>
      <c r="NPX103" s="450"/>
      <c r="NPY103" s="450"/>
      <c r="NPZ103" s="450"/>
      <c r="NQA103" s="450"/>
      <c r="NQB103" s="450"/>
      <c r="NQC103" s="450"/>
      <c r="NQD103" s="450"/>
      <c r="NQE103" s="450"/>
      <c r="NQF103" s="450"/>
      <c r="NQG103" s="450"/>
      <c r="NQH103" s="450"/>
      <c r="NQI103" s="450"/>
      <c r="NQJ103" s="450"/>
      <c r="NQK103" s="450"/>
      <c r="NQL103" s="450"/>
      <c r="NQM103" s="450"/>
      <c r="NQN103" s="450"/>
      <c r="NQO103" s="450"/>
      <c r="NQP103" s="450"/>
      <c r="NQQ103" s="450"/>
      <c r="NQR103" s="450"/>
      <c r="NQS103" s="450"/>
      <c r="NQT103" s="450"/>
      <c r="NQU103" s="450"/>
      <c r="NQV103" s="450"/>
      <c r="NQW103" s="450"/>
      <c r="NQX103" s="450"/>
      <c r="NQY103" s="450"/>
      <c r="NQZ103" s="450"/>
      <c r="NRA103" s="450"/>
      <c r="NRB103" s="450"/>
      <c r="NRC103" s="450"/>
      <c r="NRD103" s="450"/>
      <c r="NRE103" s="450"/>
      <c r="NRF103" s="450"/>
      <c r="NRG103" s="450"/>
      <c r="NRH103" s="450"/>
      <c r="NRI103" s="450"/>
      <c r="NRJ103" s="450"/>
      <c r="NRK103" s="450"/>
      <c r="NRL103" s="450"/>
      <c r="NRM103" s="450"/>
      <c r="NRN103" s="450"/>
      <c r="NRO103" s="450"/>
      <c r="NRP103" s="450"/>
      <c r="NRQ103" s="450"/>
      <c r="NRR103" s="450"/>
      <c r="NRS103" s="450"/>
      <c r="NRT103" s="450"/>
      <c r="NRU103" s="450"/>
      <c r="NRV103" s="450"/>
      <c r="NRW103" s="450"/>
      <c r="NRX103" s="450"/>
      <c r="NRY103" s="450"/>
      <c r="NRZ103" s="450"/>
      <c r="NSA103" s="450"/>
      <c r="NSB103" s="450"/>
      <c r="NSC103" s="450"/>
      <c r="NSD103" s="450"/>
      <c r="NSE103" s="450"/>
      <c r="NSF103" s="450"/>
      <c r="NSG103" s="450"/>
      <c r="NSH103" s="450"/>
      <c r="NSI103" s="450"/>
      <c r="NSJ103" s="450"/>
      <c r="NSK103" s="450"/>
      <c r="NSL103" s="450"/>
      <c r="NSM103" s="450"/>
      <c r="NSN103" s="450"/>
      <c r="NSO103" s="450"/>
      <c r="NSP103" s="450"/>
      <c r="NSQ103" s="450"/>
      <c r="NSR103" s="450"/>
      <c r="NSS103" s="450"/>
      <c r="NST103" s="450"/>
      <c r="NSU103" s="450"/>
      <c r="NSV103" s="450"/>
      <c r="NSW103" s="450"/>
      <c r="NSX103" s="450"/>
      <c r="NSY103" s="450"/>
      <c r="NSZ103" s="450"/>
      <c r="NTA103" s="450"/>
      <c r="NTB103" s="450"/>
      <c r="NTC103" s="450"/>
      <c r="NTD103" s="450"/>
      <c r="NTE103" s="450"/>
      <c r="NTF103" s="450"/>
      <c r="NTG103" s="450"/>
      <c r="NTH103" s="450"/>
      <c r="NTI103" s="450"/>
      <c r="NTJ103" s="450"/>
      <c r="NTK103" s="450"/>
      <c r="NTL103" s="450"/>
      <c r="NTM103" s="450"/>
      <c r="NTN103" s="450"/>
      <c r="NTO103" s="450"/>
      <c r="NTP103" s="450"/>
      <c r="NTQ103" s="450"/>
      <c r="NTR103" s="450"/>
      <c r="NTS103" s="450"/>
      <c r="NTT103" s="450"/>
      <c r="NTU103" s="450"/>
      <c r="NTV103" s="450"/>
      <c r="NTW103" s="450"/>
      <c r="NTX103" s="450"/>
      <c r="NTY103" s="450"/>
      <c r="NTZ103" s="450"/>
      <c r="NUA103" s="450"/>
      <c r="NUB103" s="450"/>
      <c r="NUC103" s="450"/>
      <c r="NUD103" s="450"/>
      <c r="NUE103" s="450"/>
      <c r="NUF103" s="450"/>
      <c r="NUG103" s="450"/>
      <c r="NUH103" s="450"/>
      <c r="NUI103" s="450"/>
      <c r="NUJ103" s="450"/>
      <c r="NUK103" s="450"/>
      <c r="NUL103" s="450"/>
      <c r="NUM103" s="450"/>
      <c r="NUN103" s="450"/>
      <c r="NUO103" s="450"/>
      <c r="NUP103" s="450"/>
      <c r="NUQ103" s="450"/>
      <c r="NUR103" s="450"/>
      <c r="NUS103" s="450"/>
      <c r="NUT103" s="450"/>
      <c r="NUU103" s="450"/>
      <c r="NUV103" s="450"/>
      <c r="NUW103" s="450"/>
      <c r="NUX103" s="450"/>
      <c r="NUY103" s="450"/>
      <c r="NUZ103" s="450"/>
      <c r="NVA103" s="450"/>
      <c r="NVB103" s="450"/>
      <c r="NVC103" s="450"/>
      <c r="NVD103" s="450"/>
      <c r="NVE103" s="450"/>
      <c r="NVF103" s="450"/>
      <c r="NVG103" s="450"/>
      <c r="NVH103" s="450"/>
      <c r="NVI103" s="450"/>
      <c r="NVJ103" s="450"/>
      <c r="NVK103" s="450"/>
      <c r="NVL103" s="450"/>
      <c r="NVM103" s="450"/>
      <c r="NVN103" s="450"/>
      <c r="NVO103" s="450"/>
      <c r="NVP103" s="450"/>
      <c r="NVQ103" s="450"/>
      <c r="NVR103" s="450"/>
      <c r="NVS103" s="450"/>
      <c r="NVT103" s="450"/>
      <c r="NVU103" s="450"/>
      <c r="NVV103" s="450"/>
      <c r="NVW103" s="450"/>
      <c r="NVX103" s="450"/>
      <c r="NVY103" s="450"/>
      <c r="NVZ103" s="450"/>
      <c r="NWA103" s="450"/>
      <c r="NWB103" s="450"/>
      <c r="NWC103" s="450"/>
      <c r="NWD103" s="450"/>
      <c r="NWE103" s="450"/>
      <c r="NWF103" s="450"/>
      <c r="NWG103" s="450"/>
      <c r="NWH103" s="450"/>
      <c r="NWI103" s="450"/>
      <c r="NWJ103" s="450"/>
      <c r="NWK103" s="450"/>
      <c r="NWL103" s="450"/>
      <c r="NWM103" s="450"/>
      <c r="NWN103" s="450"/>
      <c r="NWO103" s="450"/>
      <c r="NWP103" s="450"/>
      <c r="NWQ103" s="450"/>
      <c r="NWR103" s="450"/>
      <c r="NWS103" s="450"/>
      <c r="NWT103" s="450"/>
      <c r="NWU103" s="450"/>
      <c r="NWV103" s="450"/>
      <c r="NWW103" s="450"/>
      <c r="NWX103" s="450"/>
      <c r="NWY103" s="450"/>
      <c r="NWZ103" s="450"/>
      <c r="NXA103" s="450"/>
      <c r="NXB103" s="450"/>
      <c r="NXC103" s="450"/>
      <c r="NXD103" s="450"/>
      <c r="NXE103" s="450"/>
      <c r="NXF103" s="450"/>
      <c r="NXG103" s="450"/>
      <c r="NXH103" s="450"/>
      <c r="NXI103" s="450"/>
      <c r="NXJ103" s="450"/>
      <c r="NXK103" s="450"/>
      <c r="NXL103" s="450"/>
      <c r="NXM103" s="450"/>
      <c r="NXN103" s="450"/>
      <c r="NXO103" s="450"/>
      <c r="NXP103" s="450"/>
      <c r="NXQ103" s="450"/>
      <c r="NXR103" s="450"/>
      <c r="NXS103" s="450"/>
      <c r="NXT103" s="450"/>
      <c r="NXU103" s="450"/>
      <c r="NXV103" s="450"/>
      <c r="NXW103" s="450"/>
      <c r="NXX103" s="450"/>
      <c r="NXY103" s="450"/>
      <c r="NXZ103" s="450"/>
      <c r="NYA103" s="450"/>
      <c r="NYB103" s="450"/>
      <c r="NYC103" s="450"/>
      <c r="NYD103" s="450"/>
      <c r="NYE103" s="450"/>
      <c r="NYF103" s="450"/>
      <c r="NYG103" s="450"/>
      <c r="NYH103" s="450"/>
      <c r="NYI103" s="450"/>
      <c r="NYJ103" s="450"/>
      <c r="NYK103" s="450"/>
      <c r="NYL103" s="450"/>
      <c r="NYM103" s="450"/>
      <c r="NYN103" s="450"/>
      <c r="NYO103" s="450"/>
      <c r="NYP103" s="450"/>
      <c r="NYQ103" s="450"/>
      <c r="NYR103" s="450"/>
      <c r="NYS103" s="450"/>
      <c r="NYT103" s="450"/>
      <c r="NYU103" s="450"/>
      <c r="NYV103" s="450"/>
      <c r="NYW103" s="450"/>
      <c r="NYX103" s="450"/>
      <c r="NYY103" s="450"/>
      <c r="NYZ103" s="450"/>
      <c r="NZA103" s="450"/>
      <c r="NZB103" s="450"/>
      <c r="NZC103" s="450"/>
      <c r="NZD103" s="450"/>
      <c r="NZE103" s="450"/>
      <c r="NZF103" s="450"/>
      <c r="NZG103" s="450"/>
      <c r="NZH103" s="450"/>
      <c r="NZI103" s="450"/>
      <c r="NZJ103" s="450"/>
      <c r="NZK103" s="450"/>
      <c r="NZL103" s="450"/>
      <c r="NZM103" s="450"/>
      <c r="NZN103" s="450"/>
      <c r="NZO103" s="450"/>
      <c r="NZP103" s="450"/>
      <c r="NZQ103" s="450"/>
      <c r="NZR103" s="450"/>
      <c r="NZS103" s="450"/>
      <c r="NZT103" s="450"/>
      <c r="NZU103" s="450"/>
      <c r="NZV103" s="450"/>
      <c r="NZW103" s="450"/>
      <c r="NZX103" s="450"/>
      <c r="NZY103" s="450"/>
      <c r="NZZ103" s="450"/>
      <c r="OAA103" s="450"/>
      <c r="OAB103" s="450"/>
      <c r="OAC103" s="450"/>
      <c r="OAD103" s="450"/>
      <c r="OAE103" s="450"/>
      <c r="OAF103" s="450"/>
      <c r="OAG103" s="450"/>
      <c r="OAH103" s="450"/>
      <c r="OAI103" s="450"/>
      <c r="OAJ103" s="450"/>
      <c r="OAK103" s="450"/>
      <c r="OAL103" s="450"/>
      <c r="OAM103" s="450"/>
      <c r="OAN103" s="450"/>
      <c r="OAO103" s="450"/>
      <c r="OAP103" s="450"/>
      <c r="OAQ103" s="450"/>
      <c r="OAR103" s="450"/>
      <c r="OAS103" s="450"/>
      <c r="OAT103" s="450"/>
      <c r="OAU103" s="450"/>
      <c r="OAV103" s="450"/>
      <c r="OAW103" s="450"/>
      <c r="OAX103" s="450"/>
      <c r="OAY103" s="450"/>
      <c r="OAZ103" s="450"/>
      <c r="OBA103" s="450"/>
      <c r="OBB103" s="450"/>
      <c r="OBC103" s="450"/>
      <c r="OBD103" s="450"/>
      <c r="OBE103" s="450"/>
      <c r="OBF103" s="450"/>
      <c r="OBG103" s="450"/>
      <c r="OBH103" s="450"/>
      <c r="OBI103" s="450"/>
      <c r="OBJ103" s="450"/>
      <c r="OBK103" s="450"/>
      <c r="OBL103" s="450"/>
      <c r="OBM103" s="450"/>
      <c r="OBN103" s="450"/>
      <c r="OBO103" s="450"/>
      <c r="OBP103" s="450"/>
      <c r="OBQ103" s="450"/>
      <c r="OBR103" s="450"/>
      <c r="OBS103" s="450"/>
      <c r="OBT103" s="450"/>
      <c r="OBU103" s="450"/>
      <c r="OBV103" s="450"/>
      <c r="OBW103" s="450"/>
      <c r="OBX103" s="450"/>
      <c r="OBY103" s="450"/>
      <c r="OBZ103" s="450"/>
      <c r="OCA103" s="450"/>
      <c r="OCB103" s="450"/>
      <c r="OCC103" s="450"/>
      <c r="OCD103" s="450"/>
      <c r="OCE103" s="450"/>
      <c r="OCF103" s="450"/>
      <c r="OCG103" s="450"/>
      <c r="OCH103" s="450"/>
      <c r="OCI103" s="450"/>
      <c r="OCJ103" s="450"/>
      <c r="OCK103" s="450"/>
      <c r="OCL103" s="450"/>
      <c r="OCM103" s="450"/>
      <c r="OCN103" s="450"/>
      <c r="OCO103" s="450"/>
      <c r="OCP103" s="450"/>
      <c r="OCQ103" s="450"/>
      <c r="OCR103" s="450"/>
      <c r="OCS103" s="450"/>
      <c r="OCT103" s="450"/>
      <c r="OCU103" s="450"/>
      <c r="OCV103" s="450"/>
      <c r="OCW103" s="450"/>
      <c r="OCX103" s="450"/>
      <c r="OCY103" s="450"/>
      <c r="OCZ103" s="450"/>
      <c r="ODA103" s="450"/>
      <c r="ODB103" s="450"/>
      <c r="ODC103" s="450"/>
      <c r="ODD103" s="450"/>
      <c r="ODE103" s="450"/>
      <c r="ODF103" s="450"/>
      <c r="ODG103" s="450"/>
      <c r="ODH103" s="450"/>
      <c r="ODI103" s="450"/>
      <c r="ODJ103" s="450"/>
      <c r="ODK103" s="450"/>
      <c r="ODL103" s="450"/>
      <c r="ODM103" s="450"/>
      <c r="ODN103" s="450"/>
      <c r="ODO103" s="450"/>
      <c r="ODP103" s="450"/>
      <c r="ODQ103" s="450"/>
      <c r="ODR103" s="450"/>
      <c r="ODS103" s="450"/>
      <c r="ODT103" s="450"/>
      <c r="ODU103" s="450"/>
      <c r="ODV103" s="450"/>
      <c r="ODW103" s="450"/>
      <c r="ODX103" s="450"/>
      <c r="ODY103" s="450"/>
      <c r="ODZ103" s="450"/>
      <c r="OEA103" s="450"/>
      <c r="OEB103" s="450"/>
      <c r="OEC103" s="450"/>
      <c r="OED103" s="450"/>
      <c r="OEE103" s="450"/>
      <c r="OEF103" s="450"/>
      <c r="OEG103" s="450"/>
      <c r="OEH103" s="450"/>
      <c r="OEI103" s="450"/>
      <c r="OEJ103" s="450"/>
      <c r="OEK103" s="450"/>
      <c r="OEL103" s="450"/>
      <c r="OEM103" s="450"/>
      <c r="OEN103" s="450"/>
      <c r="OEO103" s="450"/>
      <c r="OEP103" s="450"/>
      <c r="OEQ103" s="450"/>
      <c r="OER103" s="450"/>
      <c r="OES103" s="450"/>
      <c r="OET103" s="450"/>
      <c r="OEU103" s="450"/>
      <c r="OEV103" s="450"/>
      <c r="OEW103" s="450"/>
      <c r="OEX103" s="450"/>
      <c r="OEY103" s="450"/>
      <c r="OEZ103" s="450"/>
      <c r="OFA103" s="450"/>
      <c r="OFB103" s="450"/>
      <c r="OFC103" s="450"/>
      <c r="OFD103" s="450"/>
      <c r="OFE103" s="450"/>
      <c r="OFF103" s="450"/>
      <c r="OFG103" s="450"/>
      <c r="OFH103" s="450"/>
      <c r="OFI103" s="450"/>
      <c r="OFJ103" s="450"/>
      <c r="OFK103" s="450"/>
      <c r="OFL103" s="450"/>
      <c r="OFM103" s="450"/>
      <c r="OFN103" s="450"/>
      <c r="OFO103" s="450"/>
      <c r="OFP103" s="450"/>
      <c r="OFQ103" s="450"/>
      <c r="OFR103" s="450"/>
      <c r="OFS103" s="450"/>
      <c r="OFT103" s="450"/>
      <c r="OFU103" s="450"/>
      <c r="OFV103" s="450"/>
      <c r="OFW103" s="450"/>
      <c r="OFX103" s="450"/>
      <c r="OFY103" s="450"/>
      <c r="OFZ103" s="450"/>
      <c r="OGA103" s="450"/>
      <c r="OGB103" s="450"/>
      <c r="OGC103" s="450"/>
      <c r="OGD103" s="450"/>
      <c r="OGE103" s="450"/>
      <c r="OGF103" s="450"/>
      <c r="OGG103" s="450"/>
      <c r="OGH103" s="450"/>
      <c r="OGI103" s="450"/>
      <c r="OGJ103" s="450"/>
      <c r="OGK103" s="450"/>
      <c r="OGL103" s="450"/>
      <c r="OGM103" s="450"/>
      <c r="OGN103" s="450"/>
      <c r="OGO103" s="450"/>
      <c r="OGP103" s="450"/>
      <c r="OGQ103" s="450"/>
      <c r="OGR103" s="450"/>
      <c r="OGS103" s="450"/>
      <c r="OGT103" s="450"/>
      <c r="OGU103" s="450"/>
      <c r="OGV103" s="450"/>
      <c r="OGW103" s="450"/>
      <c r="OGX103" s="450"/>
      <c r="OGY103" s="450"/>
      <c r="OGZ103" s="450"/>
      <c r="OHA103" s="450"/>
      <c r="OHB103" s="450"/>
      <c r="OHC103" s="450"/>
      <c r="OHD103" s="450"/>
      <c r="OHE103" s="450"/>
      <c r="OHF103" s="450"/>
      <c r="OHG103" s="450"/>
      <c r="OHH103" s="450"/>
      <c r="OHI103" s="450"/>
      <c r="OHJ103" s="450"/>
      <c r="OHK103" s="450"/>
      <c r="OHL103" s="450"/>
      <c r="OHM103" s="450"/>
      <c r="OHN103" s="450"/>
      <c r="OHO103" s="450"/>
      <c r="OHP103" s="450"/>
      <c r="OHQ103" s="450"/>
      <c r="OHR103" s="450"/>
      <c r="OHS103" s="450"/>
      <c r="OHT103" s="450"/>
      <c r="OHU103" s="450"/>
      <c r="OHV103" s="450"/>
      <c r="OHW103" s="450"/>
      <c r="OHX103" s="450"/>
      <c r="OHY103" s="450"/>
      <c r="OHZ103" s="450"/>
      <c r="OIA103" s="450"/>
      <c r="OIB103" s="450"/>
      <c r="OIC103" s="450"/>
      <c r="OID103" s="450"/>
      <c r="OIE103" s="450"/>
      <c r="OIF103" s="450"/>
      <c r="OIG103" s="450"/>
      <c r="OIH103" s="450"/>
      <c r="OII103" s="450"/>
      <c r="OIJ103" s="450"/>
      <c r="OIK103" s="450"/>
      <c r="OIL103" s="450"/>
      <c r="OIM103" s="450"/>
      <c r="OIN103" s="450"/>
      <c r="OIO103" s="450"/>
      <c r="OIP103" s="450"/>
      <c r="OIQ103" s="450"/>
      <c r="OIR103" s="450"/>
      <c r="OIS103" s="450"/>
      <c r="OIT103" s="450"/>
      <c r="OIU103" s="450"/>
      <c r="OIV103" s="450"/>
      <c r="OIW103" s="450"/>
      <c r="OIX103" s="450"/>
      <c r="OIY103" s="450"/>
      <c r="OIZ103" s="450"/>
      <c r="OJA103" s="450"/>
      <c r="OJB103" s="450"/>
      <c r="OJC103" s="450"/>
      <c r="OJD103" s="450"/>
      <c r="OJE103" s="450"/>
      <c r="OJF103" s="450"/>
      <c r="OJG103" s="450"/>
      <c r="OJH103" s="450"/>
      <c r="OJI103" s="450"/>
      <c r="OJJ103" s="450"/>
      <c r="OJK103" s="450"/>
      <c r="OJL103" s="450"/>
      <c r="OJM103" s="450"/>
      <c r="OJN103" s="450"/>
      <c r="OJO103" s="450"/>
      <c r="OJP103" s="450"/>
      <c r="OJQ103" s="450"/>
      <c r="OJR103" s="450"/>
      <c r="OJS103" s="450"/>
      <c r="OJT103" s="450"/>
      <c r="OJU103" s="450"/>
      <c r="OJV103" s="450"/>
      <c r="OJW103" s="450"/>
      <c r="OJX103" s="450"/>
      <c r="OJY103" s="450"/>
      <c r="OJZ103" s="450"/>
      <c r="OKA103" s="450"/>
      <c r="OKB103" s="450"/>
      <c r="OKC103" s="450"/>
      <c r="OKD103" s="450"/>
      <c r="OKE103" s="450"/>
      <c r="OKF103" s="450"/>
      <c r="OKG103" s="450"/>
      <c r="OKH103" s="450"/>
      <c r="OKI103" s="450"/>
      <c r="OKJ103" s="450"/>
      <c r="OKK103" s="450"/>
      <c r="OKL103" s="450"/>
      <c r="OKM103" s="450"/>
      <c r="OKN103" s="450"/>
      <c r="OKO103" s="450"/>
      <c r="OKP103" s="450"/>
      <c r="OKQ103" s="450"/>
      <c r="OKR103" s="450"/>
      <c r="OKS103" s="450"/>
      <c r="OKT103" s="450"/>
      <c r="OKU103" s="450"/>
      <c r="OKV103" s="450"/>
      <c r="OKW103" s="450"/>
      <c r="OKX103" s="450"/>
      <c r="OKY103" s="450"/>
      <c r="OKZ103" s="450"/>
      <c r="OLA103" s="450"/>
      <c r="OLB103" s="450"/>
      <c r="OLC103" s="450"/>
      <c r="OLD103" s="450"/>
      <c r="OLE103" s="450"/>
      <c r="OLF103" s="450"/>
      <c r="OLG103" s="450"/>
      <c r="OLH103" s="450"/>
      <c r="OLI103" s="450"/>
      <c r="OLJ103" s="450"/>
      <c r="OLK103" s="450"/>
      <c r="OLL103" s="450"/>
      <c r="OLM103" s="450"/>
      <c r="OLN103" s="450"/>
      <c r="OLO103" s="450"/>
      <c r="OLP103" s="450"/>
      <c r="OLQ103" s="450"/>
      <c r="OLR103" s="450"/>
      <c r="OLS103" s="450"/>
      <c r="OLT103" s="450"/>
      <c r="OLU103" s="450"/>
      <c r="OLV103" s="450"/>
      <c r="OLW103" s="450"/>
      <c r="OLX103" s="450"/>
      <c r="OLY103" s="450"/>
      <c r="OLZ103" s="450"/>
      <c r="OMA103" s="450"/>
      <c r="OMB103" s="450"/>
      <c r="OMC103" s="450"/>
      <c r="OMD103" s="450"/>
      <c r="OME103" s="450"/>
      <c r="OMF103" s="450"/>
      <c r="OMG103" s="450"/>
      <c r="OMH103" s="450"/>
      <c r="OMI103" s="450"/>
      <c r="OMJ103" s="450"/>
      <c r="OMK103" s="450"/>
      <c r="OML103" s="450"/>
      <c r="OMM103" s="450"/>
      <c r="OMN103" s="450"/>
      <c r="OMO103" s="450"/>
      <c r="OMP103" s="450"/>
      <c r="OMQ103" s="450"/>
      <c r="OMR103" s="450"/>
      <c r="OMS103" s="450"/>
      <c r="OMT103" s="450"/>
      <c r="OMU103" s="450"/>
      <c r="OMV103" s="450"/>
      <c r="OMW103" s="450"/>
      <c r="OMX103" s="450"/>
      <c r="OMY103" s="450"/>
      <c r="OMZ103" s="450"/>
      <c r="ONA103" s="450"/>
      <c r="ONB103" s="450"/>
      <c r="ONC103" s="450"/>
      <c r="OND103" s="450"/>
      <c r="ONE103" s="450"/>
      <c r="ONF103" s="450"/>
      <c r="ONG103" s="450"/>
      <c r="ONH103" s="450"/>
      <c r="ONI103" s="450"/>
      <c r="ONJ103" s="450"/>
      <c r="ONK103" s="450"/>
      <c r="ONL103" s="450"/>
      <c r="ONM103" s="450"/>
      <c r="ONN103" s="450"/>
      <c r="ONO103" s="450"/>
      <c r="ONP103" s="450"/>
      <c r="ONQ103" s="450"/>
      <c r="ONR103" s="450"/>
      <c r="ONS103" s="450"/>
      <c r="ONT103" s="450"/>
      <c r="ONU103" s="450"/>
      <c r="ONV103" s="450"/>
      <c r="ONW103" s="450"/>
      <c r="ONX103" s="450"/>
      <c r="ONY103" s="450"/>
      <c r="ONZ103" s="450"/>
      <c r="OOA103" s="450"/>
      <c r="OOB103" s="450"/>
      <c r="OOC103" s="450"/>
      <c r="OOD103" s="450"/>
      <c r="OOE103" s="450"/>
      <c r="OOF103" s="450"/>
      <c r="OOG103" s="450"/>
      <c r="OOH103" s="450"/>
      <c r="OOI103" s="450"/>
      <c r="OOJ103" s="450"/>
      <c r="OOK103" s="450"/>
      <c r="OOL103" s="450"/>
      <c r="OOM103" s="450"/>
      <c r="OON103" s="450"/>
      <c r="OOO103" s="450"/>
      <c r="OOP103" s="450"/>
      <c r="OOQ103" s="450"/>
      <c r="OOR103" s="450"/>
      <c r="OOS103" s="450"/>
      <c r="OOT103" s="450"/>
      <c r="OOU103" s="450"/>
      <c r="OOV103" s="450"/>
      <c r="OOW103" s="450"/>
      <c r="OOX103" s="450"/>
      <c r="OOY103" s="450"/>
      <c r="OOZ103" s="450"/>
      <c r="OPA103" s="450"/>
      <c r="OPB103" s="450"/>
      <c r="OPC103" s="450"/>
      <c r="OPD103" s="450"/>
      <c r="OPE103" s="450"/>
      <c r="OPF103" s="450"/>
      <c r="OPG103" s="450"/>
      <c r="OPH103" s="450"/>
      <c r="OPI103" s="450"/>
      <c r="OPJ103" s="450"/>
      <c r="OPK103" s="450"/>
      <c r="OPL103" s="450"/>
      <c r="OPM103" s="450"/>
      <c r="OPN103" s="450"/>
      <c r="OPO103" s="450"/>
      <c r="OPP103" s="450"/>
      <c r="OPQ103" s="450"/>
      <c r="OPR103" s="450"/>
      <c r="OPS103" s="450"/>
      <c r="OPT103" s="450"/>
      <c r="OPU103" s="450"/>
      <c r="OPV103" s="450"/>
      <c r="OPW103" s="450"/>
      <c r="OPX103" s="450"/>
      <c r="OPY103" s="450"/>
      <c r="OPZ103" s="450"/>
      <c r="OQA103" s="450"/>
      <c r="OQB103" s="450"/>
      <c r="OQC103" s="450"/>
      <c r="OQD103" s="450"/>
      <c r="OQE103" s="450"/>
      <c r="OQF103" s="450"/>
      <c r="OQG103" s="450"/>
      <c r="OQH103" s="450"/>
      <c r="OQI103" s="450"/>
      <c r="OQJ103" s="450"/>
      <c r="OQK103" s="450"/>
      <c r="OQL103" s="450"/>
      <c r="OQM103" s="450"/>
      <c r="OQN103" s="450"/>
      <c r="OQO103" s="450"/>
      <c r="OQP103" s="450"/>
      <c r="OQQ103" s="450"/>
      <c r="OQR103" s="450"/>
      <c r="OQS103" s="450"/>
      <c r="OQT103" s="450"/>
      <c r="OQU103" s="450"/>
      <c r="OQV103" s="450"/>
      <c r="OQW103" s="450"/>
      <c r="OQX103" s="450"/>
      <c r="OQY103" s="450"/>
      <c r="OQZ103" s="450"/>
      <c r="ORA103" s="450"/>
      <c r="ORB103" s="450"/>
      <c r="ORC103" s="450"/>
      <c r="ORD103" s="450"/>
      <c r="ORE103" s="450"/>
      <c r="ORF103" s="450"/>
      <c r="ORG103" s="450"/>
      <c r="ORH103" s="450"/>
      <c r="ORI103" s="450"/>
      <c r="ORJ103" s="450"/>
      <c r="ORK103" s="450"/>
      <c r="ORL103" s="450"/>
      <c r="ORM103" s="450"/>
      <c r="ORN103" s="450"/>
      <c r="ORO103" s="450"/>
      <c r="ORP103" s="450"/>
      <c r="ORQ103" s="450"/>
      <c r="ORR103" s="450"/>
      <c r="ORS103" s="450"/>
      <c r="ORT103" s="450"/>
      <c r="ORU103" s="450"/>
      <c r="ORV103" s="450"/>
      <c r="ORW103" s="450"/>
      <c r="ORX103" s="450"/>
      <c r="ORY103" s="450"/>
      <c r="ORZ103" s="450"/>
      <c r="OSA103" s="450"/>
      <c r="OSB103" s="450"/>
      <c r="OSC103" s="450"/>
      <c r="OSD103" s="450"/>
      <c r="OSE103" s="450"/>
      <c r="OSF103" s="450"/>
      <c r="OSG103" s="450"/>
      <c r="OSH103" s="450"/>
      <c r="OSI103" s="450"/>
      <c r="OSJ103" s="450"/>
      <c r="OSK103" s="450"/>
      <c r="OSL103" s="450"/>
      <c r="OSM103" s="450"/>
      <c r="OSN103" s="450"/>
      <c r="OSO103" s="450"/>
      <c r="OSP103" s="450"/>
      <c r="OSQ103" s="450"/>
      <c r="OSR103" s="450"/>
      <c r="OSS103" s="450"/>
      <c r="OST103" s="450"/>
      <c r="OSU103" s="450"/>
      <c r="OSV103" s="450"/>
      <c r="OSW103" s="450"/>
      <c r="OSX103" s="450"/>
      <c r="OSY103" s="450"/>
      <c r="OSZ103" s="450"/>
      <c r="OTA103" s="450"/>
      <c r="OTB103" s="450"/>
      <c r="OTC103" s="450"/>
      <c r="OTD103" s="450"/>
      <c r="OTE103" s="450"/>
      <c r="OTF103" s="450"/>
      <c r="OTG103" s="450"/>
      <c r="OTH103" s="450"/>
      <c r="OTI103" s="450"/>
      <c r="OTJ103" s="450"/>
      <c r="OTK103" s="450"/>
      <c r="OTL103" s="450"/>
      <c r="OTM103" s="450"/>
      <c r="OTN103" s="450"/>
      <c r="OTO103" s="450"/>
      <c r="OTP103" s="450"/>
      <c r="OTQ103" s="450"/>
      <c r="OTR103" s="450"/>
      <c r="OTS103" s="450"/>
      <c r="OTT103" s="450"/>
      <c r="OTU103" s="450"/>
      <c r="OTV103" s="450"/>
      <c r="OTW103" s="450"/>
      <c r="OTX103" s="450"/>
      <c r="OTY103" s="450"/>
      <c r="OTZ103" s="450"/>
      <c r="OUA103" s="450"/>
      <c r="OUB103" s="450"/>
      <c r="OUC103" s="450"/>
      <c r="OUD103" s="450"/>
      <c r="OUE103" s="450"/>
      <c r="OUF103" s="450"/>
      <c r="OUG103" s="450"/>
      <c r="OUH103" s="450"/>
      <c r="OUI103" s="450"/>
      <c r="OUJ103" s="450"/>
      <c r="OUK103" s="450"/>
      <c r="OUL103" s="450"/>
      <c r="OUM103" s="450"/>
      <c r="OUN103" s="450"/>
      <c r="OUO103" s="450"/>
      <c r="OUP103" s="450"/>
      <c r="OUQ103" s="450"/>
      <c r="OUR103" s="450"/>
      <c r="OUS103" s="450"/>
      <c r="OUT103" s="450"/>
      <c r="OUU103" s="450"/>
      <c r="OUV103" s="450"/>
      <c r="OUW103" s="450"/>
      <c r="OUX103" s="450"/>
      <c r="OUY103" s="450"/>
      <c r="OUZ103" s="450"/>
      <c r="OVA103" s="450"/>
      <c r="OVB103" s="450"/>
      <c r="OVC103" s="450"/>
      <c r="OVD103" s="450"/>
      <c r="OVE103" s="450"/>
      <c r="OVF103" s="450"/>
      <c r="OVG103" s="450"/>
      <c r="OVH103" s="450"/>
      <c r="OVI103" s="450"/>
      <c r="OVJ103" s="450"/>
      <c r="OVK103" s="450"/>
      <c r="OVL103" s="450"/>
      <c r="OVM103" s="450"/>
      <c r="OVN103" s="450"/>
      <c r="OVO103" s="450"/>
      <c r="OVP103" s="450"/>
      <c r="OVQ103" s="450"/>
      <c r="OVR103" s="450"/>
      <c r="OVS103" s="450"/>
      <c r="OVT103" s="450"/>
      <c r="OVU103" s="450"/>
      <c r="OVV103" s="450"/>
      <c r="OVW103" s="450"/>
      <c r="OVX103" s="450"/>
      <c r="OVY103" s="450"/>
      <c r="OVZ103" s="450"/>
      <c r="OWA103" s="450"/>
      <c r="OWB103" s="450"/>
      <c r="OWC103" s="450"/>
      <c r="OWD103" s="450"/>
      <c r="OWE103" s="450"/>
      <c r="OWF103" s="450"/>
      <c r="OWG103" s="450"/>
      <c r="OWH103" s="450"/>
      <c r="OWI103" s="450"/>
      <c r="OWJ103" s="450"/>
      <c r="OWK103" s="450"/>
      <c r="OWL103" s="450"/>
      <c r="OWM103" s="450"/>
      <c r="OWN103" s="450"/>
      <c r="OWO103" s="450"/>
      <c r="OWP103" s="450"/>
      <c r="OWQ103" s="450"/>
      <c r="OWR103" s="450"/>
      <c r="OWS103" s="450"/>
      <c r="OWT103" s="450"/>
      <c r="OWU103" s="450"/>
      <c r="OWV103" s="450"/>
      <c r="OWW103" s="450"/>
      <c r="OWX103" s="450"/>
      <c r="OWY103" s="450"/>
      <c r="OWZ103" s="450"/>
      <c r="OXA103" s="450"/>
      <c r="OXB103" s="450"/>
      <c r="OXC103" s="450"/>
      <c r="OXD103" s="450"/>
      <c r="OXE103" s="450"/>
      <c r="OXF103" s="450"/>
      <c r="OXG103" s="450"/>
      <c r="OXH103" s="450"/>
      <c r="OXI103" s="450"/>
      <c r="OXJ103" s="450"/>
      <c r="OXK103" s="450"/>
      <c r="OXL103" s="450"/>
      <c r="OXM103" s="450"/>
      <c r="OXN103" s="450"/>
      <c r="OXO103" s="450"/>
      <c r="OXP103" s="450"/>
      <c r="OXQ103" s="450"/>
      <c r="OXR103" s="450"/>
      <c r="OXS103" s="450"/>
      <c r="OXT103" s="450"/>
      <c r="OXU103" s="450"/>
      <c r="OXV103" s="450"/>
      <c r="OXW103" s="450"/>
      <c r="OXX103" s="450"/>
      <c r="OXY103" s="450"/>
      <c r="OXZ103" s="450"/>
      <c r="OYA103" s="450"/>
      <c r="OYB103" s="450"/>
      <c r="OYC103" s="450"/>
      <c r="OYD103" s="450"/>
      <c r="OYE103" s="450"/>
      <c r="OYF103" s="450"/>
      <c r="OYG103" s="450"/>
      <c r="OYH103" s="450"/>
      <c r="OYI103" s="450"/>
      <c r="OYJ103" s="450"/>
      <c r="OYK103" s="450"/>
      <c r="OYL103" s="450"/>
      <c r="OYM103" s="450"/>
      <c r="OYN103" s="450"/>
      <c r="OYO103" s="450"/>
      <c r="OYP103" s="450"/>
      <c r="OYQ103" s="450"/>
      <c r="OYR103" s="450"/>
      <c r="OYS103" s="450"/>
      <c r="OYT103" s="450"/>
      <c r="OYU103" s="450"/>
      <c r="OYV103" s="450"/>
      <c r="OYW103" s="450"/>
      <c r="OYX103" s="450"/>
      <c r="OYY103" s="450"/>
      <c r="OYZ103" s="450"/>
      <c r="OZA103" s="450"/>
      <c r="OZB103" s="450"/>
      <c r="OZC103" s="450"/>
      <c r="OZD103" s="450"/>
      <c r="OZE103" s="450"/>
      <c r="OZF103" s="450"/>
      <c r="OZG103" s="450"/>
      <c r="OZH103" s="450"/>
      <c r="OZI103" s="450"/>
      <c r="OZJ103" s="450"/>
      <c r="OZK103" s="450"/>
      <c r="OZL103" s="450"/>
      <c r="OZM103" s="450"/>
      <c r="OZN103" s="450"/>
      <c r="OZO103" s="450"/>
      <c r="OZP103" s="450"/>
      <c r="OZQ103" s="450"/>
      <c r="OZR103" s="450"/>
      <c r="OZS103" s="450"/>
      <c r="OZT103" s="450"/>
      <c r="OZU103" s="450"/>
      <c r="OZV103" s="450"/>
      <c r="OZW103" s="450"/>
      <c r="OZX103" s="450"/>
      <c r="OZY103" s="450"/>
      <c r="OZZ103" s="450"/>
      <c r="PAA103" s="450"/>
      <c r="PAB103" s="450"/>
      <c r="PAC103" s="450"/>
      <c r="PAD103" s="450"/>
      <c r="PAE103" s="450"/>
      <c r="PAF103" s="450"/>
      <c r="PAG103" s="450"/>
      <c r="PAH103" s="450"/>
      <c r="PAI103" s="450"/>
      <c r="PAJ103" s="450"/>
      <c r="PAK103" s="450"/>
      <c r="PAL103" s="450"/>
      <c r="PAM103" s="450"/>
      <c r="PAN103" s="450"/>
      <c r="PAO103" s="450"/>
      <c r="PAP103" s="450"/>
      <c r="PAQ103" s="450"/>
      <c r="PAR103" s="450"/>
      <c r="PAS103" s="450"/>
      <c r="PAT103" s="450"/>
      <c r="PAU103" s="450"/>
      <c r="PAV103" s="450"/>
      <c r="PAW103" s="450"/>
      <c r="PAX103" s="450"/>
      <c r="PAY103" s="450"/>
      <c r="PAZ103" s="450"/>
      <c r="PBA103" s="450"/>
      <c r="PBB103" s="450"/>
      <c r="PBC103" s="450"/>
      <c r="PBD103" s="450"/>
      <c r="PBE103" s="450"/>
      <c r="PBF103" s="450"/>
      <c r="PBG103" s="450"/>
      <c r="PBH103" s="450"/>
      <c r="PBI103" s="450"/>
      <c r="PBJ103" s="450"/>
      <c r="PBK103" s="450"/>
      <c r="PBL103" s="450"/>
      <c r="PBM103" s="450"/>
      <c r="PBN103" s="450"/>
      <c r="PBO103" s="450"/>
      <c r="PBP103" s="450"/>
      <c r="PBQ103" s="450"/>
      <c r="PBR103" s="450"/>
      <c r="PBS103" s="450"/>
      <c r="PBT103" s="450"/>
      <c r="PBU103" s="450"/>
      <c r="PBV103" s="450"/>
      <c r="PBW103" s="450"/>
      <c r="PBX103" s="450"/>
      <c r="PBY103" s="450"/>
      <c r="PBZ103" s="450"/>
      <c r="PCA103" s="450"/>
      <c r="PCB103" s="450"/>
      <c r="PCC103" s="450"/>
      <c r="PCD103" s="450"/>
      <c r="PCE103" s="450"/>
      <c r="PCF103" s="450"/>
      <c r="PCG103" s="450"/>
      <c r="PCH103" s="450"/>
      <c r="PCI103" s="450"/>
      <c r="PCJ103" s="450"/>
      <c r="PCK103" s="450"/>
      <c r="PCL103" s="450"/>
      <c r="PCM103" s="450"/>
      <c r="PCN103" s="450"/>
      <c r="PCO103" s="450"/>
      <c r="PCP103" s="450"/>
      <c r="PCQ103" s="450"/>
      <c r="PCR103" s="450"/>
      <c r="PCS103" s="450"/>
      <c r="PCT103" s="450"/>
      <c r="PCU103" s="450"/>
      <c r="PCV103" s="450"/>
      <c r="PCW103" s="450"/>
      <c r="PCX103" s="450"/>
      <c r="PCY103" s="450"/>
      <c r="PCZ103" s="450"/>
      <c r="PDA103" s="450"/>
      <c r="PDB103" s="450"/>
      <c r="PDC103" s="450"/>
      <c r="PDD103" s="450"/>
      <c r="PDE103" s="450"/>
      <c r="PDF103" s="450"/>
      <c r="PDG103" s="450"/>
      <c r="PDH103" s="450"/>
      <c r="PDI103" s="450"/>
      <c r="PDJ103" s="450"/>
      <c r="PDK103" s="450"/>
      <c r="PDL103" s="450"/>
      <c r="PDM103" s="450"/>
      <c r="PDN103" s="450"/>
      <c r="PDO103" s="450"/>
      <c r="PDP103" s="450"/>
      <c r="PDQ103" s="450"/>
      <c r="PDR103" s="450"/>
      <c r="PDS103" s="450"/>
      <c r="PDT103" s="450"/>
      <c r="PDU103" s="450"/>
      <c r="PDV103" s="450"/>
      <c r="PDW103" s="450"/>
      <c r="PDX103" s="450"/>
      <c r="PDY103" s="450"/>
      <c r="PDZ103" s="450"/>
      <c r="PEA103" s="450"/>
      <c r="PEB103" s="450"/>
      <c r="PEC103" s="450"/>
      <c r="PED103" s="450"/>
      <c r="PEE103" s="450"/>
      <c r="PEF103" s="450"/>
      <c r="PEG103" s="450"/>
      <c r="PEH103" s="450"/>
      <c r="PEI103" s="450"/>
      <c r="PEJ103" s="450"/>
      <c r="PEK103" s="450"/>
      <c r="PEL103" s="450"/>
      <c r="PEM103" s="450"/>
      <c r="PEN103" s="450"/>
      <c r="PEO103" s="450"/>
      <c r="PEP103" s="450"/>
      <c r="PEQ103" s="450"/>
      <c r="PER103" s="450"/>
      <c r="PES103" s="450"/>
      <c r="PET103" s="450"/>
      <c r="PEU103" s="450"/>
      <c r="PEV103" s="450"/>
      <c r="PEW103" s="450"/>
      <c r="PEX103" s="450"/>
      <c r="PEY103" s="450"/>
      <c r="PEZ103" s="450"/>
      <c r="PFA103" s="450"/>
      <c r="PFB103" s="450"/>
      <c r="PFC103" s="450"/>
      <c r="PFD103" s="450"/>
      <c r="PFE103" s="450"/>
      <c r="PFF103" s="450"/>
      <c r="PFG103" s="450"/>
      <c r="PFH103" s="450"/>
      <c r="PFI103" s="450"/>
      <c r="PFJ103" s="450"/>
      <c r="PFK103" s="450"/>
      <c r="PFL103" s="450"/>
      <c r="PFM103" s="450"/>
      <c r="PFN103" s="450"/>
      <c r="PFO103" s="450"/>
      <c r="PFP103" s="450"/>
      <c r="PFQ103" s="450"/>
      <c r="PFR103" s="450"/>
      <c r="PFS103" s="450"/>
      <c r="PFT103" s="450"/>
      <c r="PFU103" s="450"/>
      <c r="PFV103" s="450"/>
      <c r="PFW103" s="450"/>
      <c r="PFX103" s="450"/>
      <c r="PFY103" s="450"/>
      <c r="PFZ103" s="450"/>
      <c r="PGA103" s="450"/>
      <c r="PGB103" s="450"/>
      <c r="PGC103" s="450"/>
      <c r="PGD103" s="450"/>
      <c r="PGE103" s="450"/>
      <c r="PGF103" s="450"/>
      <c r="PGG103" s="450"/>
      <c r="PGH103" s="450"/>
      <c r="PGI103" s="450"/>
      <c r="PGJ103" s="450"/>
      <c r="PGK103" s="450"/>
      <c r="PGL103" s="450"/>
      <c r="PGM103" s="450"/>
      <c r="PGN103" s="450"/>
      <c r="PGO103" s="450"/>
      <c r="PGP103" s="450"/>
      <c r="PGQ103" s="450"/>
      <c r="PGR103" s="450"/>
      <c r="PGS103" s="450"/>
      <c r="PGT103" s="450"/>
      <c r="PGU103" s="450"/>
      <c r="PGV103" s="450"/>
      <c r="PGW103" s="450"/>
      <c r="PGX103" s="450"/>
      <c r="PGY103" s="450"/>
      <c r="PGZ103" s="450"/>
      <c r="PHA103" s="450"/>
      <c r="PHB103" s="450"/>
      <c r="PHC103" s="450"/>
      <c r="PHD103" s="450"/>
      <c r="PHE103" s="450"/>
      <c r="PHF103" s="450"/>
      <c r="PHG103" s="450"/>
      <c r="PHH103" s="450"/>
      <c r="PHI103" s="450"/>
      <c r="PHJ103" s="450"/>
      <c r="PHK103" s="450"/>
      <c r="PHL103" s="450"/>
      <c r="PHM103" s="450"/>
      <c r="PHN103" s="450"/>
      <c r="PHO103" s="450"/>
      <c r="PHP103" s="450"/>
      <c r="PHQ103" s="450"/>
      <c r="PHR103" s="450"/>
      <c r="PHS103" s="450"/>
      <c r="PHT103" s="450"/>
      <c r="PHU103" s="450"/>
      <c r="PHV103" s="450"/>
      <c r="PHW103" s="450"/>
      <c r="PHX103" s="450"/>
      <c r="PHY103" s="450"/>
      <c r="PHZ103" s="450"/>
      <c r="PIA103" s="450"/>
      <c r="PIB103" s="450"/>
      <c r="PIC103" s="450"/>
      <c r="PID103" s="450"/>
      <c r="PIE103" s="450"/>
      <c r="PIF103" s="450"/>
      <c r="PIG103" s="450"/>
      <c r="PIH103" s="450"/>
      <c r="PII103" s="450"/>
      <c r="PIJ103" s="450"/>
      <c r="PIK103" s="450"/>
      <c r="PIL103" s="450"/>
      <c r="PIM103" s="450"/>
      <c r="PIN103" s="450"/>
      <c r="PIO103" s="450"/>
      <c r="PIP103" s="450"/>
      <c r="PIQ103" s="450"/>
      <c r="PIR103" s="450"/>
      <c r="PIS103" s="450"/>
      <c r="PIT103" s="450"/>
      <c r="PIU103" s="450"/>
      <c r="PIV103" s="450"/>
      <c r="PIW103" s="450"/>
      <c r="PIX103" s="450"/>
      <c r="PIY103" s="450"/>
      <c r="PIZ103" s="450"/>
      <c r="PJA103" s="450"/>
      <c r="PJB103" s="450"/>
      <c r="PJC103" s="450"/>
      <c r="PJD103" s="450"/>
      <c r="PJE103" s="450"/>
      <c r="PJF103" s="450"/>
      <c r="PJG103" s="450"/>
      <c r="PJH103" s="450"/>
      <c r="PJI103" s="450"/>
      <c r="PJJ103" s="450"/>
      <c r="PJK103" s="450"/>
      <c r="PJL103" s="450"/>
      <c r="PJM103" s="450"/>
      <c r="PJN103" s="450"/>
      <c r="PJO103" s="450"/>
      <c r="PJP103" s="450"/>
      <c r="PJQ103" s="450"/>
      <c r="PJR103" s="450"/>
      <c r="PJS103" s="450"/>
      <c r="PJT103" s="450"/>
      <c r="PJU103" s="450"/>
      <c r="PJV103" s="450"/>
      <c r="PJW103" s="450"/>
      <c r="PJX103" s="450"/>
      <c r="PJY103" s="450"/>
      <c r="PJZ103" s="450"/>
      <c r="PKA103" s="450"/>
      <c r="PKB103" s="450"/>
      <c r="PKC103" s="450"/>
      <c r="PKD103" s="450"/>
      <c r="PKE103" s="450"/>
      <c r="PKF103" s="450"/>
      <c r="PKG103" s="450"/>
      <c r="PKH103" s="450"/>
      <c r="PKI103" s="450"/>
      <c r="PKJ103" s="450"/>
      <c r="PKK103" s="450"/>
      <c r="PKL103" s="450"/>
      <c r="PKM103" s="450"/>
      <c r="PKN103" s="450"/>
      <c r="PKO103" s="450"/>
      <c r="PKP103" s="450"/>
      <c r="PKQ103" s="450"/>
      <c r="PKR103" s="450"/>
      <c r="PKS103" s="450"/>
      <c r="PKT103" s="450"/>
      <c r="PKU103" s="450"/>
      <c r="PKV103" s="450"/>
      <c r="PKW103" s="450"/>
      <c r="PKX103" s="450"/>
      <c r="PKY103" s="450"/>
      <c r="PKZ103" s="450"/>
      <c r="PLA103" s="450"/>
      <c r="PLB103" s="450"/>
      <c r="PLC103" s="450"/>
      <c r="PLD103" s="450"/>
      <c r="PLE103" s="450"/>
      <c r="PLF103" s="450"/>
      <c r="PLG103" s="450"/>
      <c r="PLH103" s="450"/>
      <c r="PLI103" s="450"/>
      <c r="PLJ103" s="450"/>
      <c r="PLK103" s="450"/>
      <c r="PLL103" s="450"/>
      <c r="PLM103" s="450"/>
      <c r="PLN103" s="450"/>
      <c r="PLO103" s="450"/>
      <c r="PLP103" s="450"/>
      <c r="PLQ103" s="450"/>
      <c r="PLR103" s="450"/>
      <c r="PLS103" s="450"/>
      <c r="PLT103" s="450"/>
      <c r="PLU103" s="450"/>
      <c r="PLV103" s="450"/>
      <c r="PLW103" s="450"/>
      <c r="PLX103" s="450"/>
      <c r="PLY103" s="450"/>
      <c r="PLZ103" s="450"/>
      <c r="PMA103" s="450"/>
      <c r="PMB103" s="450"/>
      <c r="PMC103" s="450"/>
      <c r="PMD103" s="450"/>
      <c r="PME103" s="450"/>
      <c r="PMF103" s="450"/>
      <c r="PMG103" s="450"/>
      <c r="PMH103" s="450"/>
      <c r="PMI103" s="450"/>
      <c r="PMJ103" s="450"/>
      <c r="PMK103" s="450"/>
      <c r="PML103" s="450"/>
      <c r="PMM103" s="450"/>
      <c r="PMN103" s="450"/>
      <c r="PMO103" s="450"/>
      <c r="PMP103" s="450"/>
      <c r="PMQ103" s="450"/>
      <c r="PMR103" s="450"/>
      <c r="PMS103" s="450"/>
      <c r="PMT103" s="450"/>
      <c r="PMU103" s="450"/>
      <c r="PMV103" s="450"/>
      <c r="PMW103" s="450"/>
      <c r="PMX103" s="450"/>
      <c r="PMY103" s="450"/>
      <c r="PMZ103" s="450"/>
      <c r="PNA103" s="450"/>
      <c r="PNB103" s="450"/>
      <c r="PNC103" s="450"/>
      <c r="PND103" s="450"/>
      <c r="PNE103" s="450"/>
      <c r="PNF103" s="450"/>
      <c r="PNG103" s="450"/>
      <c r="PNH103" s="450"/>
      <c r="PNI103" s="450"/>
      <c r="PNJ103" s="450"/>
      <c r="PNK103" s="450"/>
      <c r="PNL103" s="450"/>
      <c r="PNM103" s="450"/>
      <c r="PNN103" s="450"/>
      <c r="PNO103" s="450"/>
      <c r="PNP103" s="450"/>
      <c r="PNQ103" s="450"/>
      <c r="PNR103" s="450"/>
      <c r="PNS103" s="450"/>
      <c r="PNT103" s="450"/>
      <c r="PNU103" s="450"/>
      <c r="PNV103" s="450"/>
      <c r="PNW103" s="450"/>
      <c r="PNX103" s="450"/>
      <c r="PNY103" s="450"/>
      <c r="PNZ103" s="450"/>
      <c r="POA103" s="450"/>
      <c r="POB103" s="450"/>
      <c r="POC103" s="450"/>
      <c r="POD103" s="450"/>
      <c r="POE103" s="450"/>
      <c r="POF103" s="450"/>
      <c r="POG103" s="450"/>
      <c r="POH103" s="450"/>
      <c r="POI103" s="450"/>
      <c r="POJ103" s="450"/>
      <c r="POK103" s="450"/>
      <c r="POL103" s="450"/>
      <c r="POM103" s="450"/>
      <c r="PON103" s="450"/>
      <c r="POO103" s="450"/>
      <c r="POP103" s="450"/>
      <c r="POQ103" s="450"/>
      <c r="POR103" s="450"/>
      <c r="POS103" s="450"/>
      <c r="POT103" s="450"/>
      <c r="POU103" s="450"/>
      <c r="POV103" s="450"/>
      <c r="POW103" s="450"/>
      <c r="POX103" s="450"/>
      <c r="POY103" s="450"/>
      <c r="POZ103" s="450"/>
      <c r="PPA103" s="450"/>
      <c r="PPB103" s="450"/>
      <c r="PPC103" s="450"/>
      <c r="PPD103" s="450"/>
      <c r="PPE103" s="450"/>
      <c r="PPF103" s="450"/>
      <c r="PPG103" s="450"/>
      <c r="PPH103" s="450"/>
      <c r="PPI103" s="450"/>
      <c r="PPJ103" s="450"/>
      <c r="PPK103" s="450"/>
      <c r="PPL103" s="450"/>
      <c r="PPM103" s="450"/>
      <c r="PPN103" s="450"/>
      <c r="PPO103" s="450"/>
      <c r="PPP103" s="450"/>
      <c r="PPQ103" s="450"/>
      <c r="PPR103" s="450"/>
      <c r="PPS103" s="450"/>
      <c r="PPT103" s="450"/>
      <c r="PPU103" s="450"/>
      <c r="PPV103" s="450"/>
      <c r="PPW103" s="450"/>
      <c r="PPX103" s="450"/>
      <c r="PPY103" s="450"/>
      <c r="PPZ103" s="450"/>
      <c r="PQA103" s="450"/>
      <c r="PQB103" s="450"/>
      <c r="PQC103" s="450"/>
      <c r="PQD103" s="450"/>
      <c r="PQE103" s="450"/>
      <c r="PQF103" s="450"/>
      <c r="PQG103" s="450"/>
      <c r="PQH103" s="450"/>
      <c r="PQI103" s="450"/>
      <c r="PQJ103" s="450"/>
      <c r="PQK103" s="450"/>
      <c r="PQL103" s="450"/>
      <c r="PQM103" s="450"/>
      <c r="PQN103" s="450"/>
      <c r="PQO103" s="450"/>
      <c r="PQP103" s="450"/>
      <c r="PQQ103" s="450"/>
      <c r="PQR103" s="450"/>
      <c r="PQS103" s="450"/>
      <c r="PQT103" s="450"/>
      <c r="PQU103" s="450"/>
      <c r="PQV103" s="450"/>
      <c r="PQW103" s="450"/>
      <c r="PQX103" s="450"/>
      <c r="PQY103" s="450"/>
      <c r="PQZ103" s="450"/>
      <c r="PRA103" s="450"/>
      <c r="PRB103" s="450"/>
      <c r="PRC103" s="450"/>
      <c r="PRD103" s="450"/>
      <c r="PRE103" s="450"/>
      <c r="PRF103" s="450"/>
      <c r="PRG103" s="450"/>
      <c r="PRH103" s="450"/>
      <c r="PRI103" s="450"/>
      <c r="PRJ103" s="450"/>
      <c r="PRK103" s="450"/>
      <c r="PRL103" s="450"/>
      <c r="PRM103" s="450"/>
      <c r="PRN103" s="450"/>
      <c r="PRO103" s="450"/>
      <c r="PRP103" s="450"/>
      <c r="PRQ103" s="450"/>
      <c r="PRR103" s="450"/>
      <c r="PRS103" s="450"/>
      <c r="PRT103" s="450"/>
      <c r="PRU103" s="450"/>
      <c r="PRV103" s="450"/>
      <c r="PRW103" s="450"/>
      <c r="PRX103" s="450"/>
      <c r="PRY103" s="450"/>
      <c r="PRZ103" s="450"/>
      <c r="PSA103" s="450"/>
      <c r="PSB103" s="450"/>
      <c r="PSC103" s="450"/>
      <c r="PSD103" s="450"/>
      <c r="PSE103" s="450"/>
      <c r="PSF103" s="450"/>
      <c r="PSG103" s="450"/>
      <c r="PSH103" s="450"/>
      <c r="PSI103" s="450"/>
      <c r="PSJ103" s="450"/>
      <c r="PSK103" s="450"/>
      <c r="PSL103" s="450"/>
      <c r="PSM103" s="450"/>
      <c r="PSN103" s="450"/>
      <c r="PSO103" s="450"/>
      <c r="PSP103" s="450"/>
      <c r="PSQ103" s="450"/>
      <c r="PSR103" s="450"/>
      <c r="PSS103" s="450"/>
      <c r="PST103" s="450"/>
      <c r="PSU103" s="450"/>
      <c r="PSV103" s="450"/>
      <c r="PSW103" s="450"/>
      <c r="PSX103" s="450"/>
      <c r="PSY103" s="450"/>
      <c r="PSZ103" s="450"/>
      <c r="PTA103" s="450"/>
      <c r="PTB103" s="450"/>
      <c r="PTC103" s="450"/>
      <c r="PTD103" s="450"/>
      <c r="PTE103" s="450"/>
      <c r="PTF103" s="450"/>
      <c r="PTG103" s="450"/>
      <c r="PTH103" s="450"/>
      <c r="PTI103" s="450"/>
      <c r="PTJ103" s="450"/>
      <c r="PTK103" s="450"/>
      <c r="PTL103" s="450"/>
      <c r="PTM103" s="450"/>
      <c r="PTN103" s="450"/>
      <c r="PTO103" s="450"/>
      <c r="PTP103" s="450"/>
      <c r="PTQ103" s="450"/>
      <c r="PTR103" s="450"/>
      <c r="PTS103" s="450"/>
      <c r="PTT103" s="450"/>
      <c r="PTU103" s="450"/>
      <c r="PTV103" s="450"/>
      <c r="PTW103" s="450"/>
      <c r="PTX103" s="450"/>
      <c r="PTY103" s="450"/>
      <c r="PTZ103" s="450"/>
      <c r="PUA103" s="450"/>
      <c r="PUB103" s="450"/>
      <c r="PUC103" s="450"/>
      <c r="PUD103" s="450"/>
      <c r="PUE103" s="450"/>
      <c r="PUF103" s="450"/>
      <c r="PUG103" s="450"/>
      <c r="PUH103" s="450"/>
      <c r="PUI103" s="450"/>
      <c r="PUJ103" s="450"/>
      <c r="PUK103" s="450"/>
      <c r="PUL103" s="450"/>
      <c r="PUM103" s="450"/>
      <c r="PUN103" s="450"/>
      <c r="PUO103" s="450"/>
      <c r="PUP103" s="450"/>
      <c r="PUQ103" s="450"/>
      <c r="PUR103" s="450"/>
      <c r="PUS103" s="450"/>
      <c r="PUT103" s="450"/>
      <c r="PUU103" s="450"/>
      <c r="PUV103" s="450"/>
      <c r="PUW103" s="450"/>
      <c r="PUX103" s="450"/>
      <c r="PUY103" s="450"/>
      <c r="PUZ103" s="450"/>
      <c r="PVA103" s="450"/>
      <c r="PVB103" s="450"/>
      <c r="PVC103" s="450"/>
      <c r="PVD103" s="450"/>
      <c r="PVE103" s="450"/>
      <c r="PVF103" s="450"/>
      <c r="PVG103" s="450"/>
      <c r="PVH103" s="450"/>
      <c r="PVI103" s="450"/>
      <c r="PVJ103" s="450"/>
      <c r="PVK103" s="450"/>
      <c r="PVL103" s="450"/>
      <c r="PVM103" s="450"/>
      <c r="PVN103" s="450"/>
      <c r="PVO103" s="450"/>
      <c r="PVP103" s="450"/>
      <c r="PVQ103" s="450"/>
      <c r="PVR103" s="450"/>
      <c r="PVS103" s="450"/>
      <c r="PVT103" s="450"/>
      <c r="PVU103" s="450"/>
      <c r="PVV103" s="450"/>
      <c r="PVW103" s="450"/>
      <c r="PVX103" s="450"/>
      <c r="PVY103" s="450"/>
      <c r="PVZ103" s="450"/>
      <c r="PWA103" s="450"/>
      <c r="PWB103" s="450"/>
      <c r="PWC103" s="450"/>
      <c r="PWD103" s="450"/>
      <c r="PWE103" s="450"/>
      <c r="PWF103" s="450"/>
      <c r="PWG103" s="450"/>
      <c r="PWH103" s="450"/>
      <c r="PWI103" s="450"/>
      <c r="PWJ103" s="450"/>
      <c r="PWK103" s="450"/>
      <c r="PWL103" s="450"/>
      <c r="PWM103" s="450"/>
      <c r="PWN103" s="450"/>
      <c r="PWO103" s="450"/>
      <c r="PWP103" s="450"/>
      <c r="PWQ103" s="450"/>
      <c r="PWR103" s="450"/>
      <c r="PWS103" s="450"/>
      <c r="PWT103" s="450"/>
      <c r="PWU103" s="450"/>
      <c r="PWV103" s="450"/>
      <c r="PWW103" s="450"/>
      <c r="PWX103" s="450"/>
      <c r="PWY103" s="450"/>
      <c r="PWZ103" s="450"/>
      <c r="PXA103" s="450"/>
      <c r="PXB103" s="450"/>
      <c r="PXC103" s="450"/>
      <c r="PXD103" s="450"/>
      <c r="PXE103" s="450"/>
      <c r="PXF103" s="450"/>
      <c r="PXG103" s="450"/>
      <c r="PXH103" s="450"/>
      <c r="PXI103" s="450"/>
      <c r="PXJ103" s="450"/>
      <c r="PXK103" s="450"/>
      <c r="PXL103" s="450"/>
      <c r="PXM103" s="450"/>
      <c r="PXN103" s="450"/>
      <c r="PXO103" s="450"/>
      <c r="PXP103" s="450"/>
      <c r="PXQ103" s="450"/>
      <c r="PXR103" s="450"/>
      <c r="PXS103" s="450"/>
      <c r="PXT103" s="450"/>
      <c r="PXU103" s="450"/>
      <c r="PXV103" s="450"/>
      <c r="PXW103" s="450"/>
      <c r="PXX103" s="450"/>
      <c r="PXY103" s="450"/>
      <c r="PXZ103" s="450"/>
      <c r="PYA103" s="450"/>
      <c r="PYB103" s="450"/>
      <c r="PYC103" s="450"/>
      <c r="PYD103" s="450"/>
      <c r="PYE103" s="450"/>
      <c r="PYF103" s="450"/>
      <c r="PYG103" s="450"/>
      <c r="PYH103" s="450"/>
      <c r="PYI103" s="450"/>
      <c r="PYJ103" s="450"/>
      <c r="PYK103" s="450"/>
      <c r="PYL103" s="450"/>
      <c r="PYM103" s="450"/>
      <c r="PYN103" s="450"/>
      <c r="PYO103" s="450"/>
      <c r="PYP103" s="450"/>
      <c r="PYQ103" s="450"/>
      <c r="PYR103" s="450"/>
      <c r="PYS103" s="450"/>
      <c r="PYT103" s="450"/>
      <c r="PYU103" s="450"/>
      <c r="PYV103" s="450"/>
      <c r="PYW103" s="450"/>
      <c r="PYX103" s="450"/>
      <c r="PYY103" s="450"/>
      <c r="PYZ103" s="450"/>
      <c r="PZA103" s="450"/>
      <c r="PZB103" s="450"/>
      <c r="PZC103" s="450"/>
      <c r="PZD103" s="450"/>
      <c r="PZE103" s="450"/>
      <c r="PZF103" s="450"/>
      <c r="PZG103" s="450"/>
      <c r="PZH103" s="450"/>
      <c r="PZI103" s="450"/>
      <c r="PZJ103" s="450"/>
      <c r="PZK103" s="450"/>
      <c r="PZL103" s="450"/>
      <c r="PZM103" s="450"/>
      <c r="PZN103" s="450"/>
      <c r="PZO103" s="450"/>
      <c r="PZP103" s="450"/>
      <c r="PZQ103" s="450"/>
      <c r="PZR103" s="450"/>
      <c r="PZS103" s="450"/>
      <c r="PZT103" s="450"/>
      <c r="PZU103" s="450"/>
      <c r="PZV103" s="450"/>
      <c r="PZW103" s="450"/>
      <c r="PZX103" s="450"/>
      <c r="PZY103" s="450"/>
      <c r="PZZ103" s="450"/>
      <c r="QAA103" s="450"/>
      <c r="QAB103" s="450"/>
      <c r="QAC103" s="450"/>
      <c r="QAD103" s="450"/>
      <c r="QAE103" s="450"/>
      <c r="QAF103" s="450"/>
      <c r="QAG103" s="450"/>
      <c r="QAH103" s="450"/>
      <c r="QAI103" s="450"/>
      <c r="QAJ103" s="450"/>
      <c r="QAK103" s="450"/>
      <c r="QAL103" s="450"/>
      <c r="QAM103" s="450"/>
      <c r="QAN103" s="450"/>
      <c r="QAO103" s="450"/>
      <c r="QAP103" s="450"/>
      <c r="QAQ103" s="450"/>
      <c r="QAR103" s="450"/>
      <c r="QAS103" s="450"/>
      <c r="QAT103" s="450"/>
      <c r="QAU103" s="450"/>
      <c r="QAV103" s="450"/>
      <c r="QAW103" s="450"/>
      <c r="QAX103" s="450"/>
      <c r="QAY103" s="450"/>
      <c r="QAZ103" s="450"/>
      <c r="QBA103" s="450"/>
      <c r="QBB103" s="450"/>
      <c r="QBC103" s="450"/>
      <c r="QBD103" s="450"/>
      <c r="QBE103" s="450"/>
      <c r="QBF103" s="450"/>
      <c r="QBG103" s="450"/>
      <c r="QBH103" s="450"/>
      <c r="QBI103" s="450"/>
      <c r="QBJ103" s="450"/>
      <c r="QBK103" s="450"/>
      <c r="QBL103" s="450"/>
      <c r="QBM103" s="450"/>
      <c r="QBN103" s="450"/>
      <c r="QBO103" s="450"/>
      <c r="QBP103" s="450"/>
      <c r="QBQ103" s="450"/>
      <c r="QBR103" s="450"/>
      <c r="QBS103" s="450"/>
      <c r="QBT103" s="450"/>
      <c r="QBU103" s="450"/>
      <c r="QBV103" s="450"/>
      <c r="QBW103" s="450"/>
      <c r="QBX103" s="450"/>
      <c r="QBY103" s="450"/>
      <c r="QBZ103" s="450"/>
      <c r="QCA103" s="450"/>
      <c r="QCB103" s="450"/>
      <c r="QCC103" s="450"/>
      <c r="QCD103" s="450"/>
      <c r="QCE103" s="450"/>
      <c r="QCF103" s="450"/>
      <c r="QCG103" s="450"/>
      <c r="QCH103" s="450"/>
      <c r="QCI103" s="450"/>
      <c r="QCJ103" s="450"/>
      <c r="QCK103" s="450"/>
      <c r="QCL103" s="450"/>
      <c r="QCM103" s="450"/>
      <c r="QCN103" s="450"/>
      <c r="QCO103" s="450"/>
      <c r="QCP103" s="450"/>
      <c r="QCQ103" s="450"/>
      <c r="QCR103" s="450"/>
      <c r="QCS103" s="450"/>
      <c r="QCT103" s="450"/>
      <c r="QCU103" s="450"/>
      <c r="QCV103" s="450"/>
      <c r="QCW103" s="450"/>
      <c r="QCX103" s="450"/>
      <c r="QCY103" s="450"/>
      <c r="QCZ103" s="450"/>
      <c r="QDA103" s="450"/>
      <c r="QDB103" s="450"/>
      <c r="QDC103" s="450"/>
      <c r="QDD103" s="450"/>
      <c r="QDE103" s="450"/>
      <c r="QDF103" s="450"/>
      <c r="QDG103" s="450"/>
      <c r="QDH103" s="450"/>
      <c r="QDI103" s="450"/>
      <c r="QDJ103" s="450"/>
      <c r="QDK103" s="450"/>
      <c r="QDL103" s="450"/>
      <c r="QDM103" s="450"/>
      <c r="QDN103" s="450"/>
      <c r="QDO103" s="450"/>
      <c r="QDP103" s="450"/>
      <c r="QDQ103" s="450"/>
      <c r="QDR103" s="450"/>
      <c r="QDS103" s="450"/>
      <c r="QDT103" s="450"/>
      <c r="QDU103" s="450"/>
      <c r="QDV103" s="450"/>
      <c r="QDW103" s="450"/>
      <c r="QDX103" s="450"/>
      <c r="QDY103" s="450"/>
      <c r="QDZ103" s="450"/>
      <c r="QEA103" s="450"/>
      <c r="QEB103" s="450"/>
      <c r="QEC103" s="450"/>
      <c r="QED103" s="450"/>
      <c r="QEE103" s="450"/>
      <c r="QEF103" s="450"/>
      <c r="QEG103" s="450"/>
      <c r="QEH103" s="450"/>
      <c r="QEI103" s="450"/>
      <c r="QEJ103" s="450"/>
      <c r="QEK103" s="450"/>
      <c r="QEL103" s="450"/>
      <c r="QEM103" s="450"/>
      <c r="QEN103" s="450"/>
      <c r="QEO103" s="450"/>
      <c r="QEP103" s="450"/>
      <c r="QEQ103" s="450"/>
      <c r="QER103" s="450"/>
      <c r="QES103" s="450"/>
      <c r="QET103" s="450"/>
      <c r="QEU103" s="450"/>
      <c r="QEV103" s="450"/>
      <c r="QEW103" s="450"/>
      <c r="QEX103" s="450"/>
      <c r="QEY103" s="450"/>
      <c r="QEZ103" s="450"/>
      <c r="QFA103" s="450"/>
      <c r="QFB103" s="450"/>
      <c r="QFC103" s="450"/>
      <c r="QFD103" s="450"/>
      <c r="QFE103" s="450"/>
      <c r="QFF103" s="450"/>
      <c r="QFG103" s="450"/>
      <c r="QFH103" s="450"/>
      <c r="QFI103" s="450"/>
      <c r="QFJ103" s="450"/>
      <c r="QFK103" s="450"/>
      <c r="QFL103" s="450"/>
      <c r="QFM103" s="450"/>
      <c r="QFN103" s="450"/>
      <c r="QFO103" s="450"/>
      <c r="QFP103" s="450"/>
      <c r="QFQ103" s="450"/>
      <c r="QFR103" s="450"/>
      <c r="QFS103" s="450"/>
      <c r="QFT103" s="450"/>
      <c r="QFU103" s="450"/>
      <c r="QFV103" s="450"/>
      <c r="QFW103" s="450"/>
      <c r="QFX103" s="450"/>
      <c r="QFY103" s="450"/>
      <c r="QFZ103" s="450"/>
      <c r="QGA103" s="450"/>
      <c r="QGB103" s="450"/>
      <c r="QGC103" s="450"/>
      <c r="QGD103" s="450"/>
      <c r="QGE103" s="450"/>
      <c r="QGF103" s="450"/>
      <c r="QGG103" s="450"/>
      <c r="QGH103" s="450"/>
      <c r="QGI103" s="450"/>
      <c r="QGJ103" s="450"/>
      <c r="QGK103" s="450"/>
      <c r="QGL103" s="450"/>
      <c r="QGM103" s="450"/>
      <c r="QGN103" s="450"/>
      <c r="QGO103" s="450"/>
      <c r="QGP103" s="450"/>
      <c r="QGQ103" s="450"/>
      <c r="QGR103" s="450"/>
      <c r="QGS103" s="450"/>
      <c r="QGT103" s="450"/>
      <c r="QGU103" s="450"/>
      <c r="QGV103" s="450"/>
      <c r="QGW103" s="450"/>
      <c r="QGX103" s="450"/>
      <c r="QGY103" s="450"/>
      <c r="QGZ103" s="450"/>
      <c r="QHA103" s="450"/>
      <c r="QHB103" s="450"/>
      <c r="QHC103" s="450"/>
      <c r="QHD103" s="450"/>
      <c r="QHE103" s="450"/>
      <c r="QHF103" s="450"/>
      <c r="QHG103" s="450"/>
      <c r="QHH103" s="450"/>
      <c r="QHI103" s="450"/>
      <c r="QHJ103" s="450"/>
      <c r="QHK103" s="450"/>
      <c r="QHL103" s="450"/>
      <c r="QHM103" s="450"/>
      <c r="QHN103" s="450"/>
      <c r="QHO103" s="450"/>
      <c r="QHP103" s="450"/>
      <c r="QHQ103" s="450"/>
      <c r="QHR103" s="450"/>
      <c r="QHS103" s="450"/>
      <c r="QHT103" s="450"/>
      <c r="QHU103" s="450"/>
      <c r="QHV103" s="450"/>
      <c r="QHW103" s="450"/>
      <c r="QHX103" s="450"/>
      <c r="QHY103" s="450"/>
      <c r="QHZ103" s="450"/>
      <c r="QIA103" s="450"/>
      <c r="QIB103" s="450"/>
      <c r="QIC103" s="450"/>
      <c r="QID103" s="450"/>
      <c r="QIE103" s="450"/>
      <c r="QIF103" s="450"/>
      <c r="QIG103" s="450"/>
      <c r="QIH103" s="450"/>
      <c r="QII103" s="450"/>
      <c r="QIJ103" s="450"/>
      <c r="QIK103" s="450"/>
      <c r="QIL103" s="450"/>
      <c r="QIM103" s="450"/>
      <c r="QIN103" s="450"/>
      <c r="QIO103" s="450"/>
      <c r="QIP103" s="450"/>
      <c r="QIQ103" s="450"/>
      <c r="QIR103" s="450"/>
      <c r="QIS103" s="450"/>
      <c r="QIT103" s="450"/>
      <c r="QIU103" s="450"/>
      <c r="QIV103" s="450"/>
      <c r="QIW103" s="450"/>
      <c r="QIX103" s="450"/>
      <c r="QIY103" s="450"/>
      <c r="QIZ103" s="450"/>
      <c r="QJA103" s="450"/>
      <c r="QJB103" s="450"/>
      <c r="QJC103" s="450"/>
      <c r="QJD103" s="450"/>
      <c r="QJE103" s="450"/>
      <c r="QJF103" s="450"/>
      <c r="QJG103" s="450"/>
      <c r="QJH103" s="450"/>
      <c r="QJI103" s="450"/>
      <c r="QJJ103" s="450"/>
      <c r="QJK103" s="450"/>
      <c r="QJL103" s="450"/>
      <c r="QJM103" s="450"/>
      <c r="QJN103" s="450"/>
      <c r="QJO103" s="450"/>
      <c r="QJP103" s="450"/>
      <c r="QJQ103" s="450"/>
      <c r="QJR103" s="450"/>
      <c r="QJS103" s="450"/>
      <c r="QJT103" s="450"/>
      <c r="QJU103" s="450"/>
      <c r="QJV103" s="450"/>
      <c r="QJW103" s="450"/>
      <c r="QJX103" s="450"/>
      <c r="QJY103" s="450"/>
      <c r="QJZ103" s="450"/>
      <c r="QKA103" s="450"/>
      <c r="QKB103" s="450"/>
      <c r="QKC103" s="450"/>
      <c r="QKD103" s="450"/>
      <c r="QKE103" s="450"/>
      <c r="QKF103" s="450"/>
      <c r="QKG103" s="450"/>
      <c r="QKH103" s="450"/>
      <c r="QKI103" s="450"/>
      <c r="QKJ103" s="450"/>
      <c r="QKK103" s="450"/>
      <c r="QKL103" s="450"/>
      <c r="QKM103" s="450"/>
      <c r="QKN103" s="450"/>
      <c r="QKO103" s="450"/>
      <c r="QKP103" s="450"/>
      <c r="QKQ103" s="450"/>
      <c r="QKR103" s="450"/>
      <c r="QKS103" s="450"/>
      <c r="QKT103" s="450"/>
      <c r="QKU103" s="450"/>
      <c r="QKV103" s="450"/>
      <c r="QKW103" s="450"/>
      <c r="QKX103" s="450"/>
      <c r="QKY103" s="450"/>
      <c r="QKZ103" s="450"/>
      <c r="QLA103" s="450"/>
      <c r="QLB103" s="450"/>
      <c r="QLC103" s="450"/>
      <c r="QLD103" s="450"/>
      <c r="QLE103" s="450"/>
      <c r="QLF103" s="450"/>
      <c r="QLG103" s="450"/>
      <c r="QLH103" s="450"/>
      <c r="QLI103" s="450"/>
      <c r="QLJ103" s="450"/>
      <c r="QLK103" s="450"/>
      <c r="QLL103" s="450"/>
      <c r="QLM103" s="450"/>
      <c r="QLN103" s="450"/>
      <c r="QLO103" s="450"/>
      <c r="QLP103" s="450"/>
      <c r="QLQ103" s="450"/>
      <c r="QLR103" s="450"/>
      <c r="QLS103" s="450"/>
      <c r="QLT103" s="450"/>
      <c r="QLU103" s="450"/>
      <c r="QLV103" s="450"/>
      <c r="QLW103" s="450"/>
      <c r="QLX103" s="450"/>
      <c r="QLY103" s="450"/>
      <c r="QLZ103" s="450"/>
      <c r="QMA103" s="450"/>
      <c r="QMB103" s="450"/>
      <c r="QMC103" s="450"/>
      <c r="QMD103" s="450"/>
      <c r="QME103" s="450"/>
      <c r="QMF103" s="450"/>
      <c r="QMG103" s="450"/>
      <c r="QMH103" s="450"/>
      <c r="QMI103" s="450"/>
      <c r="QMJ103" s="450"/>
      <c r="QMK103" s="450"/>
      <c r="QML103" s="450"/>
      <c r="QMM103" s="450"/>
      <c r="QMN103" s="450"/>
      <c r="QMO103" s="450"/>
      <c r="QMP103" s="450"/>
      <c r="QMQ103" s="450"/>
      <c r="QMR103" s="450"/>
      <c r="QMS103" s="450"/>
      <c r="QMT103" s="450"/>
      <c r="QMU103" s="450"/>
      <c r="QMV103" s="450"/>
      <c r="QMW103" s="450"/>
      <c r="QMX103" s="450"/>
      <c r="QMY103" s="450"/>
      <c r="QMZ103" s="450"/>
      <c r="QNA103" s="450"/>
      <c r="QNB103" s="450"/>
      <c r="QNC103" s="450"/>
      <c r="QND103" s="450"/>
      <c r="QNE103" s="450"/>
      <c r="QNF103" s="450"/>
      <c r="QNG103" s="450"/>
      <c r="QNH103" s="450"/>
      <c r="QNI103" s="450"/>
      <c r="QNJ103" s="450"/>
      <c r="QNK103" s="450"/>
      <c r="QNL103" s="450"/>
      <c r="QNM103" s="450"/>
      <c r="QNN103" s="450"/>
      <c r="QNO103" s="450"/>
      <c r="QNP103" s="450"/>
      <c r="QNQ103" s="450"/>
      <c r="QNR103" s="450"/>
      <c r="QNS103" s="450"/>
      <c r="QNT103" s="450"/>
      <c r="QNU103" s="450"/>
      <c r="QNV103" s="450"/>
      <c r="QNW103" s="450"/>
      <c r="QNX103" s="450"/>
      <c r="QNY103" s="450"/>
      <c r="QNZ103" s="450"/>
      <c r="QOA103" s="450"/>
      <c r="QOB103" s="450"/>
      <c r="QOC103" s="450"/>
      <c r="QOD103" s="450"/>
      <c r="QOE103" s="450"/>
      <c r="QOF103" s="450"/>
      <c r="QOG103" s="450"/>
      <c r="QOH103" s="450"/>
      <c r="QOI103" s="450"/>
      <c r="QOJ103" s="450"/>
      <c r="QOK103" s="450"/>
      <c r="QOL103" s="450"/>
      <c r="QOM103" s="450"/>
      <c r="QON103" s="450"/>
      <c r="QOO103" s="450"/>
      <c r="QOP103" s="450"/>
      <c r="QOQ103" s="450"/>
      <c r="QOR103" s="450"/>
      <c r="QOS103" s="450"/>
      <c r="QOT103" s="450"/>
      <c r="QOU103" s="450"/>
      <c r="QOV103" s="450"/>
      <c r="QOW103" s="450"/>
      <c r="QOX103" s="450"/>
      <c r="QOY103" s="450"/>
      <c r="QOZ103" s="450"/>
      <c r="QPA103" s="450"/>
      <c r="QPB103" s="450"/>
      <c r="QPC103" s="450"/>
      <c r="QPD103" s="450"/>
      <c r="QPE103" s="450"/>
      <c r="QPF103" s="450"/>
      <c r="QPG103" s="450"/>
      <c r="QPH103" s="450"/>
      <c r="QPI103" s="450"/>
      <c r="QPJ103" s="450"/>
      <c r="QPK103" s="450"/>
      <c r="QPL103" s="450"/>
      <c r="QPM103" s="450"/>
      <c r="QPN103" s="450"/>
      <c r="QPO103" s="450"/>
      <c r="QPP103" s="450"/>
      <c r="QPQ103" s="450"/>
      <c r="QPR103" s="450"/>
      <c r="QPS103" s="450"/>
      <c r="QPT103" s="450"/>
      <c r="QPU103" s="450"/>
      <c r="QPV103" s="450"/>
      <c r="QPW103" s="450"/>
      <c r="QPX103" s="450"/>
      <c r="QPY103" s="450"/>
      <c r="QPZ103" s="450"/>
      <c r="QQA103" s="450"/>
      <c r="QQB103" s="450"/>
      <c r="QQC103" s="450"/>
      <c r="QQD103" s="450"/>
      <c r="QQE103" s="450"/>
      <c r="QQF103" s="450"/>
      <c r="QQG103" s="450"/>
      <c r="QQH103" s="450"/>
      <c r="QQI103" s="450"/>
      <c r="QQJ103" s="450"/>
      <c r="QQK103" s="450"/>
      <c r="QQL103" s="450"/>
      <c r="QQM103" s="450"/>
      <c r="QQN103" s="450"/>
      <c r="QQO103" s="450"/>
      <c r="QQP103" s="450"/>
      <c r="QQQ103" s="450"/>
      <c r="QQR103" s="450"/>
      <c r="QQS103" s="450"/>
      <c r="QQT103" s="450"/>
      <c r="QQU103" s="450"/>
      <c r="QQV103" s="450"/>
      <c r="QQW103" s="450"/>
      <c r="QQX103" s="450"/>
      <c r="QQY103" s="450"/>
      <c r="QQZ103" s="450"/>
      <c r="QRA103" s="450"/>
      <c r="QRB103" s="450"/>
      <c r="QRC103" s="450"/>
      <c r="QRD103" s="450"/>
      <c r="QRE103" s="450"/>
      <c r="QRF103" s="450"/>
      <c r="QRG103" s="450"/>
      <c r="QRH103" s="450"/>
      <c r="QRI103" s="450"/>
      <c r="QRJ103" s="450"/>
      <c r="QRK103" s="450"/>
      <c r="QRL103" s="450"/>
      <c r="QRM103" s="450"/>
      <c r="QRN103" s="450"/>
      <c r="QRO103" s="450"/>
      <c r="QRP103" s="450"/>
      <c r="QRQ103" s="450"/>
      <c r="QRR103" s="450"/>
      <c r="QRS103" s="450"/>
      <c r="QRT103" s="450"/>
      <c r="QRU103" s="450"/>
      <c r="QRV103" s="450"/>
      <c r="QRW103" s="450"/>
      <c r="QRX103" s="450"/>
      <c r="QRY103" s="450"/>
      <c r="QRZ103" s="450"/>
      <c r="QSA103" s="450"/>
      <c r="QSB103" s="450"/>
      <c r="QSC103" s="450"/>
      <c r="QSD103" s="450"/>
      <c r="QSE103" s="450"/>
      <c r="QSF103" s="450"/>
      <c r="QSG103" s="450"/>
      <c r="QSH103" s="450"/>
      <c r="QSI103" s="450"/>
      <c r="QSJ103" s="450"/>
      <c r="QSK103" s="450"/>
      <c r="QSL103" s="450"/>
      <c r="QSM103" s="450"/>
      <c r="QSN103" s="450"/>
      <c r="QSO103" s="450"/>
      <c r="QSP103" s="450"/>
      <c r="QSQ103" s="450"/>
      <c r="QSR103" s="450"/>
      <c r="QSS103" s="450"/>
      <c r="QST103" s="450"/>
      <c r="QSU103" s="450"/>
      <c r="QSV103" s="450"/>
      <c r="QSW103" s="450"/>
      <c r="QSX103" s="450"/>
      <c r="QSY103" s="450"/>
      <c r="QSZ103" s="450"/>
      <c r="QTA103" s="450"/>
      <c r="QTB103" s="450"/>
      <c r="QTC103" s="450"/>
      <c r="QTD103" s="450"/>
      <c r="QTE103" s="450"/>
      <c r="QTF103" s="450"/>
      <c r="QTG103" s="450"/>
      <c r="QTH103" s="450"/>
      <c r="QTI103" s="450"/>
      <c r="QTJ103" s="450"/>
      <c r="QTK103" s="450"/>
      <c r="QTL103" s="450"/>
      <c r="QTM103" s="450"/>
      <c r="QTN103" s="450"/>
      <c r="QTO103" s="450"/>
      <c r="QTP103" s="450"/>
      <c r="QTQ103" s="450"/>
      <c r="QTR103" s="450"/>
      <c r="QTS103" s="450"/>
      <c r="QTT103" s="450"/>
      <c r="QTU103" s="450"/>
      <c r="QTV103" s="450"/>
      <c r="QTW103" s="450"/>
      <c r="QTX103" s="450"/>
      <c r="QTY103" s="450"/>
      <c r="QTZ103" s="450"/>
      <c r="QUA103" s="450"/>
      <c r="QUB103" s="450"/>
      <c r="QUC103" s="450"/>
      <c r="QUD103" s="450"/>
      <c r="QUE103" s="450"/>
      <c r="QUF103" s="450"/>
      <c r="QUG103" s="450"/>
      <c r="QUH103" s="450"/>
      <c r="QUI103" s="450"/>
      <c r="QUJ103" s="450"/>
      <c r="QUK103" s="450"/>
      <c r="QUL103" s="450"/>
      <c r="QUM103" s="450"/>
      <c r="QUN103" s="450"/>
      <c r="QUO103" s="450"/>
      <c r="QUP103" s="450"/>
      <c r="QUQ103" s="450"/>
      <c r="QUR103" s="450"/>
      <c r="QUS103" s="450"/>
      <c r="QUT103" s="450"/>
      <c r="QUU103" s="450"/>
      <c r="QUV103" s="450"/>
      <c r="QUW103" s="450"/>
      <c r="QUX103" s="450"/>
      <c r="QUY103" s="450"/>
      <c r="QUZ103" s="450"/>
      <c r="QVA103" s="450"/>
      <c r="QVB103" s="450"/>
      <c r="QVC103" s="450"/>
      <c r="QVD103" s="450"/>
      <c r="QVE103" s="450"/>
      <c r="QVF103" s="450"/>
      <c r="QVG103" s="450"/>
      <c r="QVH103" s="450"/>
      <c r="QVI103" s="450"/>
      <c r="QVJ103" s="450"/>
      <c r="QVK103" s="450"/>
      <c r="QVL103" s="450"/>
      <c r="QVM103" s="450"/>
      <c r="QVN103" s="450"/>
      <c r="QVO103" s="450"/>
      <c r="QVP103" s="450"/>
      <c r="QVQ103" s="450"/>
      <c r="QVR103" s="450"/>
      <c r="QVS103" s="450"/>
      <c r="QVT103" s="450"/>
      <c r="QVU103" s="450"/>
      <c r="QVV103" s="450"/>
      <c r="QVW103" s="450"/>
      <c r="QVX103" s="450"/>
      <c r="QVY103" s="450"/>
      <c r="QVZ103" s="450"/>
      <c r="QWA103" s="450"/>
      <c r="QWB103" s="450"/>
      <c r="QWC103" s="450"/>
      <c r="QWD103" s="450"/>
      <c r="QWE103" s="450"/>
      <c r="QWF103" s="450"/>
      <c r="QWG103" s="450"/>
      <c r="QWH103" s="450"/>
      <c r="QWI103" s="450"/>
      <c r="QWJ103" s="450"/>
      <c r="QWK103" s="450"/>
      <c r="QWL103" s="450"/>
      <c r="QWM103" s="450"/>
      <c r="QWN103" s="450"/>
      <c r="QWO103" s="450"/>
      <c r="QWP103" s="450"/>
      <c r="QWQ103" s="450"/>
      <c r="QWR103" s="450"/>
      <c r="QWS103" s="450"/>
      <c r="QWT103" s="450"/>
      <c r="QWU103" s="450"/>
      <c r="QWV103" s="450"/>
      <c r="QWW103" s="450"/>
      <c r="QWX103" s="450"/>
      <c r="QWY103" s="450"/>
      <c r="QWZ103" s="450"/>
      <c r="QXA103" s="450"/>
      <c r="QXB103" s="450"/>
      <c r="QXC103" s="450"/>
      <c r="QXD103" s="450"/>
      <c r="QXE103" s="450"/>
      <c r="QXF103" s="450"/>
      <c r="QXG103" s="450"/>
      <c r="QXH103" s="450"/>
      <c r="QXI103" s="450"/>
      <c r="QXJ103" s="450"/>
      <c r="QXK103" s="450"/>
      <c r="QXL103" s="450"/>
      <c r="QXM103" s="450"/>
      <c r="QXN103" s="450"/>
      <c r="QXO103" s="450"/>
      <c r="QXP103" s="450"/>
      <c r="QXQ103" s="450"/>
      <c r="QXR103" s="450"/>
      <c r="QXS103" s="450"/>
      <c r="QXT103" s="450"/>
      <c r="QXU103" s="450"/>
      <c r="QXV103" s="450"/>
      <c r="QXW103" s="450"/>
      <c r="QXX103" s="450"/>
      <c r="QXY103" s="450"/>
      <c r="QXZ103" s="450"/>
      <c r="QYA103" s="450"/>
      <c r="QYB103" s="450"/>
      <c r="QYC103" s="450"/>
      <c r="QYD103" s="450"/>
      <c r="QYE103" s="450"/>
      <c r="QYF103" s="450"/>
      <c r="QYG103" s="450"/>
      <c r="QYH103" s="450"/>
      <c r="QYI103" s="450"/>
      <c r="QYJ103" s="450"/>
      <c r="QYK103" s="450"/>
      <c r="QYL103" s="450"/>
      <c r="QYM103" s="450"/>
      <c r="QYN103" s="450"/>
      <c r="QYO103" s="450"/>
      <c r="QYP103" s="450"/>
      <c r="QYQ103" s="450"/>
      <c r="QYR103" s="450"/>
      <c r="QYS103" s="450"/>
      <c r="QYT103" s="450"/>
      <c r="QYU103" s="450"/>
      <c r="QYV103" s="450"/>
      <c r="QYW103" s="450"/>
      <c r="QYX103" s="450"/>
      <c r="QYY103" s="450"/>
      <c r="QYZ103" s="450"/>
      <c r="QZA103" s="450"/>
      <c r="QZB103" s="450"/>
      <c r="QZC103" s="450"/>
      <c r="QZD103" s="450"/>
      <c r="QZE103" s="450"/>
      <c r="QZF103" s="450"/>
      <c r="QZG103" s="450"/>
      <c r="QZH103" s="450"/>
      <c r="QZI103" s="450"/>
      <c r="QZJ103" s="450"/>
      <c r="QZK103" s="450"/>
      <c r="QZL103" s="450"/>
      <c r="QZM103" s="450"/>
      <c r="QZN103" s="450"/>
      <c r="QZO103" s="450"/>
      <c r="QZP103" s="450"/>
      <c r="QZQ103" s="450"/>
      <c r="QZR103" s="450"/>
      <c r="QZS103" s="450"/>
      <c r="QZT103" s="450"/>
      <c r="QZU103" s="450"/>
      <c r="QZV103" s="450"/>
      <c r="QZW103" s="450"/>
      <c r="QZX103" s="450"/>
      <c r="QZY103" s="450"/>
      <c r="QZZ103" s="450"/>
      <c r="RAA103" s="450"/>
      <c r="RAB103" s="450"/>
      <c r="RAC103" s="450"/>
      <c r="RAD103" s="450"/>
      <c r="RAE103" s="450"/>
      <c r="RAF103" s="450"/>
      <c r="RAG103" s="450"/>
      <c r="RAH103" s="450"/>
      <c r="RAI103" s="450"/>
      <c r="RAJ103" s="450"/>
      <c r="RAK103" s="450"/>
      <c r="RAL103" s="450"/>
      <c r="RAM103" s="450"/>
      <c r="RAN103" s="450"/>
      <c r="RAO103" s="450"/>
      <c r="RAP103" s="450"/>
      <c r="RAQ103" s="450"/>
      <c r="RAR103" s="450"/>
      <c r="RAS103" s="450"/>
      <c r="RAT103" s="450"/>
      <c r="RAU103" s="450"/>
      <c r="RAV103" s="450"/>
      <c r="RAW103" s="450"/>
      <c r="RAX103" s="450"/>
      <c r="RAY103" s="450"/>
      <c r="RAZ103" s="450"/>
      <c r="RBA103" s="450"/>
      <c r="RBB103" s="450"/>
      <c r="RBC103" s="450"/>
      <c r="RBD103" s="450"/>
      <c r="RBE103" s="450"/>
      <c r="RBF103" s="450"/>
      <c r="RBG103" s="450"/>
      <c r="RBH103" s="450"/>
      <c r="RBI103" s="450"/>
      <c r="RBJ103" s="450"/>
      <c r="RBK103" s="450"/>
      <c r="RBL103" s="450"/>
      <c r="RBM103" s="450"/>
      <c r="RBN103" s="450"/>
      <c r="RBO103" s="450"/>
      <c r="RBP103" s="450"/>
      <c r="RBQ103" s="450"/>
      <c r="RBR103" s="450"/>
      <c r="RBS103" s="450"/>
      <c r="RBT103" s="450"/>
      <c r="RBU103" s="450"/>
      <c r="RBV103" s="450"/>
      <c r="RBW103" s="450"/>
      <c r="RBX103" s="450"/>
      <c r="RBY103" s="450"/>
      <c r="RBZ103" s="450"/>
      <c r="RCA103" s="450"/>
      <c r="RCB103" s="450"/>
      <c r="RCC103" s="450"/>
      <c r="RCD103" s="450"/>
      <c r="RCE103" s="450"/>
      <c r="RCF103" s="450"/>
      <c r="RCG103" s="450"/>
      <c r="RCH103" s="450"/>
      <c r="RCI103" s="450"/>
      <c r="RCJ103" s="450"/>
      <c r="RCK103" s="450"/>
      <c r="RCL103" s="450"/>
      <c r="RCM103" s="450"/>
      <c r="RCN103" s="450"/>
      <c r="RCO103" s="450"/>
      <c r="RCP103" s="450"/>
      <c r="RCQ103" s="450"/>
      <c r="RCR103" s="450"/>
      <c r="RCS103" s="450"/>
      <c r="RCT103" s="450"/>
      <c r="RCU103" s="450"/>
      <c r="RCV103" s="450"/>
      <c r="RCW103" s="450"/>
      <c r="RCX103" s="450"/>
      <c r="RCY103" s="450"/>
      <c r="RCZ103" s="450"/>
      <c r="RDA103" s="450"/>
      <c r="RDB103" s="450"/>
      <c r="RDC103" s="450"/>
      <c r="RDD103" s="450"/>
      <c r="RDE103" s="450"/>
      <c r="RDF103" s="450"/>
      <c r="RDG103" s="450"/>
      <c r="RDH103" s="450"/>
      <c r="RDI103" s="450"/>
      <c r="RDJ103" s="450"/>
      <c r="RDK103" s="450"/>
      <c r="RDL103" s="450"/>
      <c r="RDM103" s="450"/>
      <c r="RDN103" s="450"/>
      <c r="RDO103" s="450"/>
      <c r="RDP103" s="450"/>
      <c r="RDQ103" s="450"/>
      <c r="RDR103" s="450"/>
      <c r="RDS103" s="450"/>
      <c r="RDT103" s="450"/>
      <c r="RDU103" s="450"/>
      <c r="RDV103" s="450"/>
      <c r="RDW103" s="450"/>
      <c r="RDX103" s="450"/>
      <c r="RDY103" s="450"/>
      <c r="RDZ103" s="450"/>
      <c r="REA103" s="450"/>
      <c r="REB103" s="450"/>
      <c r="REC103" s="450"/>
      <c r="RED103" s="450"/>
      <c r="REE103" s="450"/>
      <c r="REF103" s="450"/>
      <c r="REG103" s="450"/>
      <c r="REH103" s="450"/>
      <c r="REI103" s="450"/>
      <c r="REJ103" s="450"/>
      <c r="REK103" s="450"/>
      <c r="REL103" s="450"/>
      <c r="REM103" s="450"/>
      <c r="REN103" s="450"/>
      <c r="REO103" s="450"/>
      <c r="REP103" s="450"/>
      <c r="REQ103" s="450"/>
      <c r="RER103" s="450"/>
      <c r="RES103" s="450"/>
      <c r="RET103" s="450"/>
      <c r="REU103" s="450"/>
      <c r="REV103" s="450"/>
      <c r="REW103" s="450"/>
      <c r="REX103" s="450"/>
      <c r="REY103" s="450"/>
      <c r="REZ103" s="450"/>
      <c r="RFA103" s="450"/>
      <c r="RFB103" s="450"/>
      <c r="RFC103" s="450"/>
      <c r="RFD103" s="450"/>
      <c r="RFE103" s="450"/>
      <c r="RFF103" s="450"/>
      <c r="RFG103" s="450"/>
      <c r="RFH103" s="450"/>
      <c r="RFI103" s="450"/>
      <c r="RFJ103" s="450"/>
      <c r="RFK103" s="450"/>
      <c r="RFL103" s="450"/>
      <c r="RFM103" s="450"/>
      <c r="RFN103" s="450"/>
      <c r="RFO103" s="450"/>
      <c r="RFP103" s="450"/>
      <c r="RFQ103" s="450"/>
      <c r="RFR103" s="450"/>
      <c r="RFS103" s="450"/>
      <c r="RFT103" s="450"/>
      <c r="RFU103" s="450"/>
      <c r="RFV103" s="450"/>
      <c r="RFW103" s="450"/>
      <c r="RFX103" s="450"/>
      <c r="RFY103" s="450"/>
      <c r="RFZ103" s="450"/>
      <c r="RGA103" s="450"/>
      <c r="RGB103" s="450"/>
      <c r="RGC103" s="450"/>
      <c r="RGD103" s="450"/>
      <c r="RGE103" s="450"/>
      <c r="RGF103" s="450"/>
      <c r="RGG103" s="450"/>
      <c r="RGH103" s="450"/>
      <c r="RGI103" s="450"/>
      <c r="RGJ103" s="450"/>
      <c r="RGK103" s="450"/>
      <c r="RGL103" s="450"/>
      <c r="RGM103" s="450"/>
      <c r="RGN103" s="450"/>
      <c r="RGO103" s="450"/>
      <c r="RGP103" s="450"/>
      <c r="RGQ103" s="450"/>
      <c r="RGR103" s="450"/>
      <c r="RGS103" s="450"/>
      <c r="RGT103" s="450"/>
      <c r="RGU103" s="450"/>
      <c r="RGV103" s="450"/>
      <c r="RGW103" s="450"/>
      <c r="RGX103" s="450"/>
      <c r="RGY103" s="450"/>
      <c r="RGZ103" s="450"/>
      <c r="RHA103" s="450"/>
      <c r="RHB103" s="450"/>
      <c r="RHC103" s="450"/>
      <c r="RHD103" s="450"/>
      <c r="RHE103" s="450"/>
      <c r="RHF103" s="450"/>
      <c r="RHG103" s="450"/>
      <c r="RHH103" s="450"/>
      <c r="RHI103" s="450"/>
      <c r="RHJ103" s="450"/>
      <c r="RHK103" s="450"/>
      <c r="RHL103" s="450"/>
      <c r="RHM103" s="450"/>
      <c r="RHN103" s="450"/>
      <c r="RHO103" s="450"/>
      <c r="RHP103" s="450"/>
      <c r="RHQ103" s="450"/>
      <c r="RHR103" s="450"/>
      <c r="RHS103" s="450"/>
      <c r="RHT103" s="450"/>
      <c r="RHU103" s="450"/>
      <c r="RHV103" s="450"/>
      <c r="RHW103" s="450"/>
      <c r="RHX103" s="450"/>
      <c r="RHY103" s="450"/>
      <c r="RHZ103" s="450"/>
      <c r="RIA103" s="450"/>
      <c r="RIB103" s="450"/>
      <c r="RIC103" s="450"/>
      <c r="RID103" s="450"/>
      <c r="RIE103" s="450"/>
      <c r="RIF103" s="450"/>
      <c r="RIG103" s="450"/>
      <c r="RIH103" s="450"/>
      <c r="RII103" s="450"/>
      <c r="RIJ103" s="450"/>
      <c r="RIK103" s="450"/>
      <c r="RIL103" s="450"/>
      <c r="RIM103" s="450"/>
      <c r="RIN103" s="450"/>
      <c r="RIO103" s="450"/>
      <c r="RIP103" s="450"/>
      <c r="RIQ103" s="450"/>
      <c r="RIR103" s="450"/>
      <c r="RIS103" s="450"/>
      <c r="RIT103" s="450"/>
      <c r="RIU103" s="450"/>
      <c r="RIV103" s="450"/>
      <c r="RIW103" s="450"/>
      <c r="RIX103" s="450"/>
      <c r="RIY103" s="450"/>
      <c r="RIZ103" s="450"/>
      <c r="RJA103" s="450"/>
      <c r="RJB103" s="450"/>
      <c r="RJC103" s="450"/>
      <c r="RJD103" s="450"/>
      <c r="RJE103" s="450"/>
      <c r="RJF103" s="450"/>
      <c r="RJG103" s="450"/>
      <c r="RJH103" s="450"/>
      <c r="RJI103" s="450"/>
      <c r="RJJ103" s="450"/>
      <c r="RJK103" s="450"/>
      <c r="RJL103" s="450"/>
      <c r="RJM103" s="450"/>
      <c r="RJN103" s="450"/>
      <c r="RJO103" s="450"/>
      <c r="RJP103" s="450"/>
      <c r="RJQ103" s="450"/>
      <c r="RJR103" s="450"/>
      <c r="RJS103" s="450"/>
      <c r="RJT103" s="450"/>
      <c r="RJU103" s="450"/>
      <c r="RJV103" s="450"/>
      <c r="RJW103" s="450"/>
      <c r="RJX103" s="450"/>
      <c r="RJY103" s="450"/>
      <c r="RJZ103" s="450"/>
      <c r="RKA103" s="450"/>
      <c r="RKB103" s="450"/>
      <c r="RKC103" s="450"/>
      <c r="RKD103" s="450"/>
      <c r="RKE103" s="450"/>
      <c r="RKF103" s="450"/>
      <c r="RKG103" s="450"/>
      <c r="RKH103" s="450"/>
      <c r="RKI103" s="450"/>
      <c r="RKJ103" s="450"/>
      <c r="RKK103" s="450"/>
      <c r="RKL103" s="450"/>
      <c r="RKM103" s="450"/>
      <c r="RKN103" s="450"/>
      <c r="RKO103" s="450"/>
      <c r="RKP103" s="450"/>
      <c r="RKQ103" s="450"/>
      <c r="RKR103" s="450"/>
      <c r="RKS103" s="450"/>
      <c r="RKT103" s="450"/>
      <c r="RKU103" s="450"/>
      <c r="RKV103" s="450"/>
      <c r="RKW103" s="450"/>
      <c r="RKX103" s="450"/>
      <c r="RKY103" s="450"/>
      <c r="RKZ103" s="450"/>
      <c r="RLA103" s="450"/>
      <c r="RLB103" s="450"/>
      <c r="RLC103" s="450"/>
      <c r="RLD103" s="450"/>
      <c r="RLE103" s="450"/>
      <c r="RLF103" s="450"/>
      <c r="RLG103" s="450"/>
      <c r="RLH103" s="450"/>
      <c r="RLI103" s="450"/>
      <c r="RLJ103" s="450"/>
      <c r="RLK103" s="450"/>
      <c r="RLL103" s="450"/>
      <c r="RLM103" s="450"/>
      <c r="RLN103" s="450"/>
      <c r="RLO103" s="450"/>
      <c r="RLP103" s="450"/>
      <c r="RLQ103" s="450"/>
      <c r="RLR103" s="450"/>
      <c r="RLS103" s="450"/>
      <c r="RLT103" s="450"/>
      <c r="RLU103" s="450"/>
      <c r="RLV103" s="450"/>
      <c r="RLW103" s="450"/>
      <c r="RLX103" s="450"/>
      <c r="RLY103" s="450"/>
      <c r="RLZ103" s="450"/>
      <c r="RMA103" s="450"/>
      <c r="RMB103" s="450"/>
      <c r="RMC103" s="450"/>
      <c r="RMD103" s="450"/>
      <c r="RME103" s="450"/>
      <c r="RMF103" s="450"/>
      <c r="RMG103" s="450"/>
      <c r="RMH103" s="450"/>
      <c r="RMI103" s="450"/>
      <c r="RMJ103" s="450"/>
      <c r="RMK103" s="450"/>
      <c r="RML103" s="450"/>
      <c r="RMM103" s="450"/>
      <c r="RMN103" s="450"/>
      <c r="RMO103" s="450"/>
      <c r="RMP103" s="450"/>
      <c r="RMQ103" s="450"/>
      <c r="RMR103" s="450"/>
      <c r="RMS103" s="450"/>
      <c r="RMT103" s="450"/>
      <c r="RMU103" s="450"/>
      <c r="RMV103" s="450"/>
      <c r="RMW103" s="450"/>
      <c r="RMX103" s="450"/>
      <c r="RMY103" s="450"/>
      <c r="RMZ103" s="450"/>
      <c r="RNA103" s="450"/>
      <c r="RNB103" s="450"/>
      <c r="RNC103" s="450"/>
      <c r="RND103" s="450"/>
      <c r="RNE103" s="450"/>
      <c r="RNF103" s="450"/>
      <c r="RNG103" s="450"/>
      <c r="RNH103" s="450"/>
      <c r="RNI103" s="450"/>
      <c r="RNJ103" s="450"/>
      <c r="RNK103" s="450"/>
      <c r="RNL103" s="450"/>
      <c r="RNM103" s="450"/>
      <c r="RNN103" s="450"/>
      <c r="RNO103" s="450"/>
      <c r="RNP103" s="450"/>
      <c r="RNQ103" s="450"/>
      <c r="RNR103" s="450"/>
      <c r="RNS103" s="450"/>
      <c r="RNT103" s="450"/>
      <c r="RNU103" s="450"/>
      <c r="RNV103" s="450"/>
      <c r="RNW103" s="450"/>
      <c r="RNX103" s="450"/>
      <c r="RNY103" s="450"/>
      <c r="RNZ103" s="450"/>
      <c r="ROA103" s="450"/>
      <c r="ROB103" s="450"/>
      <c r="ROC103" s="450"/>
      <c r="ROD103" s="450"/>
      <c r="ROE103" s="450"/>
      <c r="ROF103" s="450"/>
      <c r="ROG103" s="450"/>
      <c r="ROH103" s="450"/>
      <c r="ROI103" s="450"/>
      <c r="ROJ103" s="450"/>
      <c r="ROK103" s="450"/>
      <c r="ROL103" s="450"/>
      <c r="ROM103" s="450"/>
      <c r="RON103" s="450"/>
      <c r="ROO103" s="450"/>
      <c r="ROP103" s="450"/>
      <c r="ROQ103" s="450"/>
      <c r="ROR103" s="450"/>
      <c r="ROS103" s="450"/>
      <c r="ROT103" s="450"/>
      <c r="ROU103" s="450"/>
      <c r="ROV103" s="450"/>
      <c r="ROW103" s="450"/>
      <c r="ROX103" s="450"/>
      <c r="ROY103" s="450"/>
      <c r="ROZ103" s="450"/>
      <c r="RPA103" s="450"/>
      <c r="RPB103" s="450"/>
      <c r="RPC103" s="450"/>
      <c r="RPD103" s="450"/>
      <c r="RPE103" s="450"/>
      <c r="RPF103" s="450"/>
      <c r="RPG103" s="450"/>
      <c r="RPH103" s="450"/>
      <c r="RPI103" s="450"/>
      <c r="RPJ103" s="450"/>
      <c r="RPK103" s="450"/>
      <c r="RPL103" s="450"/>
      <c r="RPM103" s="450"/>
      <c r="RPN103" s="450"/>
      <c r="RPO103" s="450"/>
      <c r="RPP103" s="450"/>
      <c r="RPQ103" s="450"/>
      <c r="RPR103" s="450"/>
      <c r="RPS103" s="450"/>
      <c r="RPT103" s="450"/>
      <c r="RPU103" s="450"/>
      <c r="RPV103" s="450"/>
      <c r="RPW103" s="450"/>
      <c r="RPX103" s="450"/>
      <c r="RPY103" s="450"/>
      <c r="RPZ103" s="450"/>
      <c r="RQA103" s="450"/>
      <c r="RQB103" s="450"/>
      <c r="RQC103" s="450"/>
      <c r="RQD103" s="450"/>
      <c r="RQE103" s="450"/>
      <c r="RQF103" s="450"/>
      <c r="RQG103" s="450"/>
      <c r="RQH103" s="450"/>
      <c r="RQI103" s="450"/>
      <c r="RQJ103" s="450"/>
      <c r="RQK103" s="450"/>
      <c r="RQL103" s="450"/>
      <c r="RQM103" s="450"/>
      <c r="RQN103" s="450"/>
      <c r="RQO103" s="450"/>
      <c r="RQP103" s="450"/>
      <c r="RQQ103" s="450"/>
      <c r="RQR103" s="450"/>
      <c r="RQS103" s="450"/>
      <c r="RQT103" s="450"/>
      <c r="RQU103" s="450"/>
      <c r="RQV103" s="450"/>
      <c r="RQW103" s="450"/>
      <c r="RQX103" s="450"/>
      <c r="RQY103" s="450"/>
      <c r="RQZ103" s="450"/>
      <c r="RRA103" s="450"/>
      <c r="RRB103" s="450"/>
      <c r="RRC103" s="450"/>
      <c r="RRD103" s="450"/>
      <c r="RRE103" s="450"/>
      <c r="RRF103" s="450"/>
      <c r="RRG103" s="450"/>
      <c r="RRH103" s="450"/>
      <c r="RRI103" s="450"/>
      <c r="RRJ103" s="450"/>
      <c r="RRK103" s="450"/>
      <c r="RRL103" s="450"/>
      <c r="RRM103" s="450"/>
      <c r="RRN103" s="450"/>
      <c r="RRO103" s="450"/>
      <c r="RRP103" s="450"/>
      <c r="RRQ103" s="450"/>
      <c r="RRR103" s="450"/>
      <c r="RRS103" s="450"/>
      <c r="RRT103" s="450"/>
      <c r="RRU103" s="450"/>
      <c r="RRV103" s="450"/>
      <c r="RRW103" s="450"/>
      <c r="RRX103" s="450"/>
      <c r="RRY103" s="450"/>
      <c r="RRZ103" s="450"/>
      <c r="RSA103" s="450"/>
      <c r="RSB103" s="450"/>
      <c r="RSC103" s="450"/>
      <c r="RSD103" s="450"/>
      <c r="RSE103" s="450"/>
      <c r="RSF103" s="450"/>
      <c r="RSG103" s="450"/>
      <c r="RSH103" s="450"/>
      <c r="RSI103" s="450"/>
      <c r="RSJ103" s="450"/>
      <c r="RSK103" s="450"/>
      <c r="RSL103" s="450"/>
      <c r="RSM103" s="450"/>
      <c r="RSN103" s="450"/>
      <c r="RSO103" s="450"/>
      <c r="RSP103" s="450"/>
      <c r="RSQ103" s="450"/>
      <c r="RSR103" s="450"/>
      <c r="RSS103" s="450"/>
      <c r="RST103" s="450"/>
      <c r="RSU103" s="450"/>
      <c r="RSV103" s="450"/>
      <c r="RSW103" s="450"/>
      <c r="RSX103" s="450"/>
      <c r="RSY103" s="450"/>
      <c r="RSZ103" s="450"/>
      <c r="RTA103" s="450"/>
      <c r="RTB103" s="450"/>
      <c r="RTC103" s="450"/>
      <c r="RTD103" s="450"/>
      <c r="RTE103" s="450"/>
      <c r="RTF103" s="450"/>
      <c r="RTG103" s="450"/>
      <c r="RTH103" s="450"/>
      <c r="RTI103" s="450"/>
      <c r="RTJ103" s="450"/>
      <c r="RTK103" s="450"/>
      <c r="RTL103" s="450"/>
      <c r="RTM103" s="450"/>
      <c r="RTN103" s="450"/>
      <c r="RTO103" s="450"/>
      <c r="RTP103" s="450"/>
      <c r="RTQ103" s="450"/>
      <c r="RTR103" s="450"/>
      <c r="RTS103" s="450"/>
      <c r="RTT103" s="450"/>
      <c r="RTU103" s="450"/>
      <c r="RTV103" s="450"/>
      <c r="RTW103" s="450"/>
      <c r="RTX103" s="450"/>
      <c r="RTY103" s="450"/>
      <c r="RTZ103" s="450"/>
      <c r="RUA103" s="450"/>
      <c r="RUB103" s="450"/>
      <c r="RUC103" s="450"/>
      <c r="RUD103" s="450"/>
      <c r="RUE103" s="450"/>
      <c r="RUF103" s="450"/>
      <c r="RUG103" s="450"/>
      <c r="RUH103" s="450"/>
      <c r="RUI103" s="450"/>
      <c r="RUJ103" s="450"/>
      <c r="RUK103" s="450"/>
      <c r="RUL103" s="450"/>
      <c r="RUM103" s="450"/>
      <c r="RUN103" s="450"/>
      <c r="RUO103" s="450"/>
      <c r="RUP103" s="450"/>
      <c r="RUQ103" s="450"/>
      <c r="RUR103" s="450"/>
      <c r="RUS103" s="450"/>
      <c r="RUT103" s="450"/>
      <c r="RUU103" s="450"/>
      <c r="RUV103" s="450"/>
      <c r="RUW103" s="450"/>
      <c r="RUX103" s="450"/>
      <c r="RUY103" s="450"/>
      <c r="RUZ103" s="450"/>
      <c r="RVA103" s="450"/>
      <c r="RVB103" s="450"/>
      <c r="RVC103" s="450"/>
      <c r="RVD103" s="450"/>
      <c r="RVE103" s="450"/>
      <c r="RVF103" s="450"/>
      <c r="RVG103" s="450"/>
      <c r="RVH103" s="450"/>
      <c r="RVI103" s="450"/>
      <c r="RVJ103" s="450"/>
      <c r="RVK103" s="450"/>
      <c r="RVL103" s="450"/>
      <c r="RVM103" s="450"/>
      <c r="RVN103" s="450"/>
      <c r="RVO103" s="450"/>
      <c r="RVP103" s="450"/>
      <c r="RVQ103" s="450"/>
      <c r="RVR103" s="450"/>
      <c r="RVS103" s="450"/>
      <c r="RVT103" s="450"/>
      <c r="RVU103" s="450"/>
      <c r="RVV103" s="450"/>
      <c r="RVW103" s="450"/>
      <c r="RVX103" s="450"/>
      <c r="RVY103" s="450"/>
      <c r="RVZ103" s="450"/>
      <c r="RWA103" s="450"/>
      <c r="RWB103" s="450"/>
      <c r="RWC103" s="450"/>
      <c r="RWD103" s="450"/>
      <c r="RWE103" s="450"/>
      <c r="RWF103" s="450"/>
      <c r="RWG103" s="450"/>
      <c r="RWH103" s="450"/>
      <c r="RWI103" s="450"/>
      <c r="RWJ103" s="450"/>
      <c r="RWK103" s="450"/>
      <c r="RWL103" s="450"/>
      <c r="RWM103" s="450"/>
      <c r="RWN103" s="450"/>
      <c r="RWO103" s="450"/>
      <c r="RWP103" s="450"/>
      <c r="RWQ103" s="450"/>
      <c r="RWR103" s="450"/>
      <c r="RWS103" s="450"/>
      <c r="RWT103" s="450"/>
      <c r="RWU103" s="450"/>
      <c r="RWV103" s="450"/>
      <c r="RWW103" s="450"/>
      <c r="RWX103" s="450"/>
      <c r="RWY103" s="450"/>
      <c r="RWZ103" s="450"/>
      <c r="RXA103" s="450"/>
      <c r="RXB103" s="450"/>
      <c r="RXC103" s="450"/>
      <c r="RXD103" s="450"/>
      <c r="RXE103" s="450"/>
      <c r="RXF103" s="450"/>
      <c r="RXG103" s="450"/>
      <c r="RXH103" s="450"/>
      <c r="RXI103" s="450"/>
      <c r="RXJ103" s="450"/>
      <c r="RXK103" s="450"/>
      <c r="RXL103" s="450"/>
      <c r="RXM103" s="450"/>
      <c r="RXN103" s="450"/>
      <c r="RXO103" s="450"/>
      <c r="RXP103" s="450"/>
      <c r="RXQ103" s="450"/>
      <c r="RXR103" s="450"/>
      <c r="RXS103" s="450"/>
      <c r="RXT103" s="450"/>
      <c r="RXU103" s="450"/>
      <c r="RXV103" s="450"/>
      <c r="RXW103" s="450"/>
      <c r="RXX103" s="450"/>
      <c r="RXY103" s="450"/>
      <c r="RXZ103" s="450"/>
      <c r="RYA103" s="450"/>
      <c r="RYB103" s="450"/>
      <c r="RYC103" s="450"/>
      <c r="RYD103" s="450"/>
      <c r="RYE103" s="450"/>
      <c r="RYF103" s="450"/>
      <c r="RYG103" s="450"/>
      <c r="RYH103" s="450"/>
      <c r="RYI103" s="450"/>
      <c r="RYJ103" s="450"/>
      <c r="RYK103" s="450"/>
      <c r="RYL103" s="450"/>
      <c r="RYM103" s="450"/>
      <c r="RYN103" s="450"/>
      <c r="RYO103" s="450"/>
      <c r="RYP103" s="450"/>
      <c r="RYQ103" s="450"/>
      <c r="RYR103" s="450"/>
      <c r="RYS103" s="450"/>
      <c r="RYT103" s="450"/>
      <c r="RYU103" s="450"/>
      <c r="RYV103" s="450"/>
      <c r="RYW103" s="450"/>
      <c r="RYX103" s="450"/>
      <c r="RYY103" s="450"/>
      <c r="RYZ103" s="450"/>
      <c r="RZA103" s="450"/>
      <c r="RZB103" s="450"/>
      <c r="RZC103" s="450"/>
      <c r="RZD103" s="450"/>
      <c r="RZE103" s="450"/>
      <c r="RZF103" s="450"/>
      <c r="RZG103" s="450"/>
      <c r="RZH103" s="450"/>
      <c r="RZI103" s="450"/>
      <c r="RZJ103" s="450"/>
      <c r="RZK103" s="450"/>
      <c r="RZL103" s="450"/>
      <c r="RZM103" s="450"/>
      <c r="RZN103" s="450"/>
      <c r="RZO103" s="450"/>
      <c r="RZP103" s="450"/>
      <c r="RZQ103" s="450"/>
      <c r="RZR103" s="450"/>
      <c r="RZS103" s="450"/>
      <c r="RZT103" s="450"/>
      <c r="RZU103" s="450"/>
      <c r="RZV103" s="450"/>
      <c r="RZW103" s="450"/>
      <c r="RZX103" s="450"/>
      <c r="RZY103" s="450"/>
      <c r="RZZ103" s="450"/>
      <c r="SAA103" s="450"/>
      <c r="SAB103" s="450"/>
      <c r="SAC103" s="450"/>
      <c r="SAD103" s="450"/>
      <c r="SAE103" s="450"/>
      <c r="SAF103" s="450"/>
      <c r="SAG103" s="450"/>
      <c r="SAH103" s="450"/>
      <c r="SAI103" s="450"/>
      <c r="SAJ103" s="450"/>
      <c r="SAK103" s="450"/>
      <c r="SAL103" s="450"/>
      <c r="SAM103" s="450"/>
      <c r="SAN103" s="450"/>
      <c r="SAO103" s="450"/>
      <c r="SAP103" s="450"/>
      <c r="SAQ103" s="450"/>
      <c r="SAR103" s="450"/>
      <c r="SAS103" s="450"/>
      <c r="SAT103" s="450"/>
      <c r="SAU103" s="450"/>
      <c r="SAV103" s="450"/>
      <c r="SAW103" s="450"/>
      <c r="SAX103" s="450"/>
      <c r="SAY103" s="450"/>
      <c r="SAZ103" s="450"/>
      <c r="SBA103" s="450"/>
      <c r="SBB103" s="450"/>
      <c r="SBC103" s="450"/>
      <c r="SBD103" s="450"/>
      <c r="SBE103" s="450"/>
      <c r="SBF103" s="450"/>
      <c r="SBG103" s="450"/>
      <c r="SBH103" s="450"/>
      <c r="SBI103" s="450"/>
      <c r="SBJ103" s="450"/>
      <c r="SBK103" s="450"/>
      <c r="SBL103" s="450"/>
      <c r="SBM103" s="450"/>
      <c r="SBN103" s="450"/>
      <c r="SBO103" s="450"/>
      <c r="SBP103" s="450"/>
      <c r="SBQ103" s="450"/>
      <c r="SBR103" s="450"/>
      <c r="SBS103" s="450"/>
      <c r="SBT103" s="450"/>
      <c r="SBU103" s="450"/>
      <c r="SBV103" s="450"/>
      <c r="SBW103" s="450"/>
      <c r="SBX103" s="450"/>
      <c r="SBY103" s="450"/>
      <c r="SBZ103" s="450"/>
      <c r="SCA103" s="450"/>
      <c r="SCB103" s="450"/>
      <c r="SCC103" s="450"/>
      <c r="SCD103" s="450"/>
      <c r="SCE103" s="450"/>
      <c r="SCF103" s="450"/>
      <c r="SCG103" s="450"/>
      <c r="SCH103" s="450"/>
      <c r="SCI103" s="450"/>
      <c r="SCJ103" s="450"/>
      <c r="SCK103" s="450"/>
      <c r="SCL103" s="450"/>
      <c r="SCM103" s="450"/>
      <c r="SCN103" s="450"/>
      <c r="SCO103" s="450"/>
      <c r="SCP103" s="450"/>
      <c r="SCQ103" s="450"/>
      <c r="SCR103" s="450"/>
      <c r="SCS103" s="450"/>
      <c r="SCT103" s="450"/>
      <c r="SCU103" s="450"/>
      <c r="SCV103" s="450"/>
      <c r="SCW103" s="450"/>
      <c r="SCX103" s="450"/>
      <c r="SCY103" s="450"/>
      <c r="SCZ103" s="450"/>
      <c r="SDA103" s="450"/>
      <c r="SDB103" s="450"/>
      <c r="SDC103" s="450"/>
      <c r="SDD103" s="450"/>
      <c r="SDE103" s="450"/>
      <c r="SDF103" s="450"/>
      <c r="SDG103" s="450"/>
      <c r="SDH103" s="450"/>
      <c r="SDI103" s="450"/>
      <c r="SDJ103" s="450"/>
      <c r="SDK103" s="450"/>
      <c r="SDL103" s="450"/>
      <c r="SDM103" s="450"/>
      <c r="SDN103" s="450"/>
      <c r="SDO103" s="450"/>
      <c r="SDP103" s="450"/>
      <c r="SDQ103" s="450"/>
      <c r="SDR103" s="450"/>
      <c r="SDS103" s="450"/>
      <c r="SDT103" s="450"/>
      <c r="SDU103" s="450"/>
      <c r="SDV103" s="450"/>
      <c r="SDW103" s="450"/>
      <c r="SDX103" s="450"/>
      <c r="SDY103" s="450"/>
      <c r="SDZ103" s="450"/>
      <c r="SEA103" s="450"/>
      <c r="SEB103" s="450"/>
      <c r="SEC103" s="450"/>
      <c r="SED103" s="450"/>
      <c r="SEE103" s="450"/>
      <c r="SEF103" s="450"/>
      <c r="SEG103" s="450"/>
      <c r="SEH103" s="450"/>
      <c r="SEI103" s="450"/>
      <c r="SEJ103" s="450"/>
      <c r="SEK103" s="450"/>
      <c r="SEL103" s="450"/>
      <c r="SEM103" s="450"/>
      <c r="SEN103" s="450"/>
      <c r="SEO103" s="450"/>
      <c r="SEP103" s="450"/>
      <c r="SEQ103" s="450"/>
      <c r="SER103" s="450"/>
      <c r="SES103" s="450"/>
      <c r="SET103" s="450"/>
      <c r="SEU103" s="450"/>
      <c r="SEV103" s="450"/>
      <c r="SEW103" s="450"/>
      <c r="SEX103" s="450"/>
      <c r="SEY103" s="450"/>
      <c r="SEZ103" s="450"/>
      <c r="SFA103" s="450"/>
      <c r="SFB103" s="450"/>
      <c r="SFC103" s="450"/>
      <c r="SFD103" s="450"/>
      <c r="SFE103" s="450"/>
      <c r="SFF103" s="450"/>
      <c r="SFG103" s="450"/>
      <c r="SFH103" s="450"/>
      <c r="SFI103" s="450"/>
      <c r="SFJ103" s="450"/>
      <c r="SFK103" s="450"/>
      <c r="SFL103" s="450"/>
      <c r="SFM103" s="450"/>
      <c r="SFN103" s="450"/>
      <c r="SFO103" s="450"/>
      <c r="SFP103" s="450"/>
      <c r="SFQ103" s="450"/>
      <c r="SFR103" s="450"/>
      <c r="SFS103" s="450"/>
      <c r="SFT103" s="450"/>
      <c r="SFU103" s="450"/>
      <c r="SFV103" s="450"/>
      <c r="SFW103" s="450"/>
      <c r="SFX103" s="450"/>
      <c r="SFY103" s="450"/>
      <c r="SFZ103" s="450"/>
      <c r="SGA103" s="450"/>
      <c r="SGB103" s="450"/>
      <c r="SGC103" s="450"/>
      <c r="SGD103" s="450"/>
      <c r="SGE103" s="450"/>
      <c r="SGF103" s="450"/>
      <c r="SGG103" s="450"/>
      <c r="SGH103" s="450"/>
      <c r="SGI103" s="450"/>
      <c r="SGJ103" s="450"/>
      <c r="SGK103" s="450"/>
      <c r="SGL103" s="450"/>
      <c r="SGM103" s="450"/>
      <c r="SGN103" s="450"/>
      <c r="SGO103" s="450"/>
      <c r="SGP103" s="450"/>
      <c r="SGQ103" s="450"/>
      <c r="SGR103" s="450"/>
      <c r="SGS103" s="450"/>
      <c r="SGT103" s="450"/>
      <c r="SGU103" s="450"/>
      <c r="SGV103" s="450"/>
      <c r="SGW103" s="450"/>
      <c r="SGX103" s="450"/>
      <c r="SGY103" s="450"/>
      <c r="SGZ103" s="450"/>
      <c r="SHA103" s="450"/>
      <c r="SHB103" s="450"/>
      <c r="SHC103" s="450"/>
      <c r="SHD103" s="450"/>
      <c r="SHE103" s="450"/>
      <c r="SHF103" s="450"/>
      <c r="SHG103" s="450"/>
      <c r="SHH103" s="450"/>
      <c r="SHI103" s="450"/>
      <c r="SHJ103" s="450"/>
      <c r="SHK103" s="450"/>
      <c r="SHL103" s="450"/>
      <c r="SHM103" s="450"/>
      <c r="SHN103" s="450"/>
      <c r="SHO103" s="450"/>
      <c r="SHP103" s="450"/>
      <c r="SHQ103" s="450"/>
      <c r="SHR103" s="450"/>
      <c r="SHS103" s="450"/>
      <c r="SHT103" s="450"/>
      <c r="SHU103" s="450"/>
      <c r="SHV103" s="450"/>
      <c r="SHW103" s="450"/>
      <c r="SHX103" s="450"/>
      <c r="SHY103" s="450"/>
      <c r="SHZ103" s="450"/>
      <c r="SIA103" s="450"/>
      <c r="SIB103" s="450"/>
      <c r="SIC103" s="450"/>
      <c r="SID103" s="450"/>
      <c r="SIE103" s="450"/>
      <c r="SIF103" s="450"/>
      <c r="SIG103" s="450"/>
      <c r="SIH103" s="450"/>
      <c r="SII103" s="450"/>
      <c r="SIJ103" s="450"/>
      <c r="SIK103" s="450"/>
      <c r="SIL103" s="450"/>
      <c r="SIM103" s="450"/>
      <c r="SIN103" s="450"/>
      <c r="SIO103" s="450"/>
      <c r="SIP103" s="450"/>
      <c r="SIQ103" s="450"/>
      <c r="SIR103" s="450"/>
      <c r="SIS103" s="450"/>
      <c r="SIT103" s="450"/>
      <c r="SIU103" s="450"/>
      <c r="SIV103" s="450"/>
      <c r="SIW103" s="450"/>
      <c r="SIX103" s="450"/>
      <c r="SIY103" s="450"/>
      <c r="SIZ103" s="450"/>
      <c r="SJA103" s="450"/>
      <c r="SJB103" s="450"/>
      <c r="SJC103" s="450"/>
      <c r="SJD103" s="450"/>
      <c r="SJE103" s="450"/>
      <c r="SJF103" s="450"/>
      <c r="SJG103" s="450"/>
      <c r="SJH103" s="450"/>
      <c r="SJI103" s="450"/>
      <c r="SJJ103" s="450"/>
      <c r="SJK103" s="450"/>
      <c r="SJL103" s="450"/>
      <c r="SJM103" s="450"/>
      <c r="SJN103" s="450"/>
      <c r="SJO103" s="450"/>
      <c r="SJP103" s="450"/>
      <c r="SJQ103" s="450"/>
      <c r="SJR103" s="450"/>
      <c r="SJS103" s="450"/>
      <c r="SJT103" s="450"/>
      <c r="SJU103" s="450"/>
      <c r="SJV103" s="450"/>
      <c r="SJW103" s="450"/>
      <c r="SJX103" s="450"/>
      <c r="SJY103" s="450"/>
      <c r="SJZ103" s="450"/>
      <c r="SKA103" s="450"/>
      <c r="SKB103" s="450"/>
      <c r="SKC103" s="450"/>
      <c r="SKD103" s="450"/>
      <c r="SKE103" s="450"/>
      <c r="SKF103" s="450"/>
      <c r="SKG103" s="450"/>
      <c r="SKH103" s="450"/>
      <c r="SKI103" s="450"/>
      <c r="SKJ103" s="450"/>
      <c r="SKK103" s="450"/>
      <c r="SKL103" s="450"/>
      <c r="SKM103" s="450"/>
      <c r="SKN103" s="450"/>
      <c r="SKO103" s="450"/>
      <c r="SKP103" s="450"/>
      <c r="SKQ103" s="450"/>
      <c r="SKR103" s="450"/>
      <c r="SKS103" s="450"/>
      <c r="SKT103" s="450"/>
      <c r="SKU103" s="450"/>
      <c r="SKV103" s="450"/>
      <c r="SKW103" s="450"/>
      <c r="SKX103" s="450"/>
      <c r="SKY103" s="450"/>
      <c r="SKZ103" s="450"/>
      <c r="SLA103" s="450"/>
      <c r="SLB103" s="450"/>
      <c r="SLC103" s="450"/>
      <c r="SLD103" s="450"/>
      <c r="SLE103" s="450"/>
      <c r="SLF103" s="450"/>
      <c r="SLG103" s="450"/>
      <c r="SLH103" s="450"/>
      <c r="SLI103" s="450"/>
      <c r="SLJ103" s="450"/>
      <c r="SLK103" s="450"/>
      <c r="SLL103" s="450"/>
      <c r="SLM103" s="450"/>
      <c r="SLN103" s="450"/>
      <c r="SLO103" s="450"/>
      <c r="SLP103" s="450"/>
      <c r="SLQ103" s="450"/>
      <c r="SLR103" s="450"/>
      <c r="SLS103" s="450"/>
      <c r="SLT103" s="450"/>
      <c r="SLU103" s="450"/>
      <c r="SLV103" s="450"/>
      <c r="SLW103" s="450"/>
      <c r="SLX103" s="450"/>
      <c r="SLY103" s="450"/>
      <c r="SLZ103" s="450"/>
      <c r="SMA103" s="450"/>
      <c r="SMB103" s="450"/>
      <c r="SMC103" s="450"/>
      <c r="SMD103" s="450"/>
      <c r="SME103" s="450"/>
      <c r="SMF103" s="450"/>
      <c r="SMG103" s="450"/>
      <c r="SMH103" s="450"/>
      <c r="SMI103" s="450"/>
      <c r="SMJ103" s="450"/>
      <c r="SMK103" s="450"/>
      <c r="SML103" s="450"/>
      <c r="SMM103" s="450"/>
      <c r="SMN103" s="450"/>
      <c r="SMO103" s="450"/>
      <c r="SMP103" s="450"/>
      <c r="SMQ103" s="450"/>
      <c r="SMR103" s="450"/>
      <c r="SMS103" s="450"/>
      <c r="SMT103" s="450"/>
      <c r="SMU103" s="450"/>
      <c r="SMV103" s="450"/>
      <c r="SMW103" s="450"/>
      <c r="SMX103" s="450"/>
      <c r="SMY103" s="450"/>
      <c r="SMZ103" s="450"/>
      <c r="SNA103" s="450"/>
      <c r="SNB103" s="450"/>
      <c r="SNC103" s="450"/>
      <c r="SND103" s="450"/>
      <c r="SNE103" s="450"/>
      <c r="SNF103" s="450"/>
      <c r="SNG103" s="450"/>
      <c r="SNH103" s="450"/>
      <c r="SNI103" s="450"/>
      <c r="SNJ103" s="450"/>
      <c r="SNK103" s="450"/>
      <c r="SNL103" s="450"/>
      <c r="SNM103" s="450"/>
      <c r="SNN103" s="450"/>
      <c r="SNO103" s="450"/>
      <c r="SNP103" s="450"/>
      <c r="SNQ103" s="450"/>
      <c r="SNR103" s="450"/>
      <c r="SNS103" s="450"/>
      <c r="SNT103" s="450"/>
      <c r="SNU103" s="450"/>
      <c r="SNV103" s="450"/>
      <c r="SNW103" s="450"/>
      <c r="SNX103" s="450"/>
      <c r="SNY103" s="450"/>
      <c r="SNZ103" s="450"/>
      <c r="SOA103" s="450"/>
      <c r="SOB103" s="450"/>
      <c r="SOC103" s="450"/>
      <c r="SOD103" s="450"/>
      <c r="SOE103" s="450"/>
      <c r="SOF103" s="450"/>
      <c r="SOG103" s="450"/>
      <c r="SOH103" s="450"/>
      <c r="SOI103" s="450"/>
      <c r="SOJ103" s="450"/>
      <c r="SOK103" s="450"/>
      <c r="SOL103" s="450"/>
      <c r="SOM103" s="450"/>
      <c r="SON103" s="450"/>
      <c r="SOO103" s="450"/>
      <c r="SOP103" s="450"/>
      <c r="SOQ103" s="450"/>
      <c r="SOR103" s="450"/>
      <c r="SOS103" s="450"/>
      <c r="SOT103" s="450"/>
      <c r="SOU103" s="450"/>
      <c r="SOV103" s="450"/>
      <c r="SOW103" s="450"/>
      <c r="SOX103" s="450"/>
      <c r="SOY103" s="450"/>
      <c r="SOZ103" s="450"/>
      <c r="SPA103" s="450"/>
      <c r="SPB103" s="450"/>
      <c r="SPC103" s="450"/>
      <c r="SPD103" s="450"/>
      <c r="SPE103" s="450"/>
      <c r="SPF103" s="450"/>
      <c r="SPG103" s="450"/>
      <c r="SPH103" s="450"/>
      <c r="SPI103" s="450"/>
      <c r="SPJ103" s="450"/>
      <c r="SPK103" s="450"/>
      <c r="SPL103" s="450"/>
      <c r="SPM103" s="450"/>
      <c r="SPN103" s="450"/>
      <c r="SPO103" s="450"/>
      <c r="SPP103" s="450"/>
      <c r="SPQ103" s="450"/>
      <c r="SPR103" s="450"/>
      <c r="SPS103" s="450"/>
      <c r="SPT103" s="450"/>
      <c r="SPU103" s="450"/>
      <c r="SPV103" s="450"/>
      <c r="SPW103" s="450"/>
      <c r="SPX103" s="450"/>
      <c r="SPY103" s="450"/>
      <c r="SPZ103" s="450"/>
      <c r="SQA103" s="450"/>
      <c r="SQB103" s="450"/>
      <c r="SQC103" s="450"/>
      <c r="SQD103" s="450"/>
      <c r="SQE103" s="450"/>
      <c r="SQF103" s="450"/>
      <c r="SQG103" s="450"/>
      <c r="SQH103" s="450"/>
      <c r="SQI103" s="450"/>
      <c r="SQJ103" s="450"/>
      <c r="SQK103" s="450"/>
      <c r="SQL103" s="450"/>
      <c r="SQM103" s="450"/>
      <c r="SQN103" s="450"/>
      <c r="SQO103" s="450"/>
      <c r="SQP103" s="450"/>
      <c r="SQQ103" s="450"/>
      <c r="SQR103" s="450"/>
      <c r="SQS103" s="450"/>
      <c r="SQT103" s="450"/>
      <c r="SQU103" s="450"/>
      <c r="SQV103" s="450"/>
      <c r="SQW103" s="450"/>
      <c r="SQX103" s="450"/>
      <c r="SQY103" s="450"/>
      <c r="SQZ103" s="450"/>
      <c r="SRA103" s="450"/>
      <c r="SRB103" s="450"/>
      <c r="SRC103" s="450"/>
      <c r="SRD103" s="450"/>
      <c r="SRE103" s="450"/>
      <c r="SRF103" s="450"/>
      <c r="SRG103" s="450"/>
      <c r="SRH103" s="450"/>
      <c r="SRI103" s="450"/>
      <c r="SRJ103" s="450"/>
      <c r="SRK103" s="450"/>
      <c r="SRL103" s="450"/>
      <c r="SRM103" s="450"/>
      <c r="SRN103" s="450"/>
      <c r="SRO103" s="450"/>
      <c r="SRP103" s="450"/>
      <c r="SRQ103" s="450"/>
      <c r="SRR103" s="450"/>
      <c r="SRS103" s="450"/>
      <c r="SRT103" s="450"/>
      <c r="SRU103" s="450"/>
      <c r="SRV103" s="450"/>
      <c r="SRW103" s="450"/>
      <c r="SRX103" s="450"/>
      <c r="SRY103" s="450"/>
      <c r="SRZ103" s="450"/>
      <c r="SSA103" s="450"/>
      <c r="SSB103" s="450"/>
      <c r="SSC103" s="450"/>
      <c r="SSD103" s="450"/>
      <c r="SSE103" s="450"/>
      <c r="SSF103" s="450"/>
      <c r="SSG103" s="450"/>
      <c r="SSH103" s="450"/>
      <c r="SSI103" s="450"/>
      <c r="SSJ103" s="450"/>
      <c r="SSK103" s="450"/>
      <c r="SSL103" s="450"/>
      <c r="SSM103" s="450"/>
      <c r="SSN103" s="450"/>
      <c r="SSO103" s="450"/>
      <c r="SSP103" s="450"/>
      <c r="SSQ103" s="450"/>
      <c r="SSR103" s="450"/>
      <c r="SSS103" s="450"/>
      <c r="SST103" s="450"/>
      <c r="SSU103" s="450"/>
      <c r="SSV103" s="450"/>
      <c r="SSW103" s="450"/>
      <c r="SSX103" s="450"/>
      <c r="SSY103" s="450"/>
      <c r="SSZ103" s="450"/>
      <c r="STA103" s="450"/>
      <c r="STB103" s="450"/>
      <c r="STC103" s="450"/>
      <c r="STD103" s="450"/>
      <c r="STE103" s="450"/>
      <c r="STF103" s="450"/>
      <c r="STG103" s="450"/>
      <c r="STH103" s="450"/>
      <c r="STI103" s="450"/>
      <c r="STJ103" s="450"/>
      <c r="STK103" s="450"/>
      <c r="STL103" s="450"/>
      <c r="STM103" s="450"/>
      <c r="STN103" s="450"/>
      <c r="STO103" s="450"/>
      <c r="STP103" s="450"/>
      <c r="STQ103" s="450"/>
      <c r="STR103" s="450"/>
      <c r="STS103" s="450"/>
      <c r="STT103" s="450"/>
      <c r="STU103" s="450"/>
      <c r="STV103" s="450"/>
      <c r="STW103" s="450"/>
      <c r="STX103" s="450"/>
      <c r="STY103" s="450"/>
      <c r="STZ103" s="450"/>
      <c r="SUA103" s="450"/>
      <c r="SUB103" s="450"/>
      <c r="SUC103" s="450"/>
      <c r="SUD103" s="450"/>
      <c r="SUE103" s="450"/>
      <c r="SUF103" s="450"/>
      <c r="SUG103" s="450"/>
      <c r="SUH103" s="450"/>
      <c r="SUI103" s="450"/>
      <c r="SUJ103" s="450"/>
      <c r="SUK103" s="450"/>
      <c r="SUL103" s="450"/>
      <c r="SUM103" s="450"/>
      <c r="SUN103" s="450"/>
      <c r="SUO103" s="450"/>
      <c r="SUP103" s="450"/>
      <c r="SUQ103" s="450"/>
      <c r="SUR103" s="450"/>
      <c r="SUS103" s="450"/>
      <c r="SUT103" s="450"/>
      <c r="SUU103" s="450"/>
      <c r="SUV103" s="450"/>
      <c r="SUW103" s="450"/>
      <c r="SUX103" s="450"/>
      <c r="SUY103" s="450"/>
      <c r="SUZ103" s="450"/>
      <c r="SVA103" s="450"/>
      <c r="SVB103" s="450"/>
      <c r="SVC103" s="450"/>
      <c r="SVD103" s="450"/>
      <c r="SVE103" s="450"/>
      <c r="SVF103" s="450"/>
      <c r="SVG103" s="450"/>
      <c r="SVH103" s="450"/>
      <c r="SVI103" s="450"/>
      <c r="SVJ103" s="450"/>
      <c r="SVK103" s="450"/>
      <c r="SVL103" s="450"/>
      <c r="SVM103" s="450"/>
      <c r="SVN103" s="450"/>
      <c r="SVO103" s="450"/>
      <c r="SVP103" s="450"/>
      <c r="SVQ103" s="450"/>
      <c r="SVR103" s="450"/>
      <c r="SVS103" s="450"/>
      <c r="SVT103" s="450"/>
      <c r="SVU103" s="450"/>
      <c r="SVV103" s="450"/>
      <c r="SVW103" s="450"/>
      <c r="SVX103" s="450"/>
      <c r="SVY103" s="450"/>
      <c r="SVZ103" s="450"/>
      <c r="SWA103" s="450"/>
      <c r="SWB103" s="450"/>
      <c r="SWC103" s="450"/>
      <c r="SWD103" s="450"/>
      <c r="SWE103" s="450"/>
      <c r="SWF103" s="450"/>
      <c r="SWG103" s="450"/>
      <c r="SWH103" s="450"/>
      <c r="SWI103" s="450"/>
      <c r="SWJ103" s="450"/>
      <c r="SWK103" s="450"/>
      <c r="SWL103" s="450"/>
      <c r="SWM103" s="450"/>
      <c r="SWN103" s="450"/>
      <c r="SWO103" s="450"/>
      <c r="SWP103" s="450"/>
      <c r="SWQ103" s="450"/>
      <c r="SWR103" s="450"/>
      <c r="SWS103" s="450"/>
      <c r="SWT103" s="450"/>
      <c r="SWU103" s="450"/>
      <c r="SWV103" s="450"/>
      <c r="SWW103" s="450"/>
      <c r="SWX103" s="450"/>
      <c r="SWY103" s="450"/>
      <c r="SWZ103" s="450"/>
      <c r="SXA103" s="450"/>
      <c r="SXB103" s="450"/>
      <c r="SXC103" s="450"/>
      <c r="SXD103" s="450"/>
      <c r="SXE103" s="450"/>
      <c r="SXF103" s="450"/>
      <c r="SXG103" s="450"/>
      <c r="SXH103" s="450"/>
      <c r="SXI103" s="450"/>
      <c r="SXJ103" s="450"/>
      <c r="SXK103" s="450"/>
      <c r="SXL103" s="450"/>
      <c r="SXM103" s="450"/>
      <c r="SXN103" s="450"/>
      <c r="SXO103" s="450"/>
      <c r="SXP103" s="450"/>
      <c r="SXQ103" s="450"/>
      <c r="SXR103" s="450"/>
      <c r="SXS103" s="450"/>
      <c r="SXT103" s="450"/>
      <c r="SXU103" s="450"/>
      <c r="SXV103" s="450"/>
      <c r="SXW103" s="450"/>
      <c r="SXX103" s="450"/>
      <c r="SXY103" s="450"/>
      <c r="SXZ103" s="450"/>
      <c r="SYA103" s="450"/>
      <c r="SYB103" s="450"/>
      <c r="SYC103" s="450"/>
      <c r="SYD103" s="450"/>
      <c r="SYE103" s="450"/>
      <c r="SYF103" s="450"/>
      <c r="SYG103" s="450"/>
      <c r="SYH103" s="450"/>
      <c r="SYI103" s="450"/>
      <c r="SYJ103" s="450"/>
      <c r="SYK103" s="450"/>
      <c r="SYL103" s="450"/>
      <c r="SYM103" s="450"/>
      <c r="SYN103" s="450"/>
      <c r="SYO103" s="450"/>
      <c r="SYP103" s="450"/>
      <c r="SYQ103" s="450"/>
      <c r="SYR103" s="450"/>
      <c r="SYS103" s="450"/>
      <c r="SYT103" s="450"/>
      <c r="SYU103" s="450"/>
      <c r="SYV103" s="450"/>
      <c r="SYW103" s="450"/>
      <c r="SYX103" s="450"/>
      <c r="SYY103" s="450"/>
      <c r="SYZ103" s="450"/>
      <c r="SZA103" s="450"/>
      <c r="SZB103" s="450"/>
      <c r="SZC103" s="450"/>
      <c r="SZD103" s="450"/>
      <c r="SZE103" s="450"/>
      <c r="SZF103" s="450"/>
      <c r="SZG103" s="450"/>
      <c r="SZH103" s="450"/>
      <c r="SZI103" s="450"/>
      <c r="SZJ103" s="450"/>
      <c r="SZK103" s="450"/>
      <c r="SZL103" s="450"/>
      <c r="SZM103" s="450"/>
      <c r="SZN103" s="450"/>
      <c r="SZO103" s="450"/>
      <c r="SZP103" s="450"/>
      <c r="SZQ103" s="450"/>
      <c r="SZR103" s="450"/>
      <c r="SZS103" s="450"/>
      <c r="SZT103" s="450"/>
      <c r="SZU103" s="450"/>
      <c r="SZV103" s="450"/>
      <c r="SZW103" s="450"/>
      <c r="SZX103" s="450"/>
      <c r="SZY103" s="450"/>
      <c r="SZZ103" s="450"/>
      <c r="TAA103" s="450"/>
      <c r="TAB103" s="450"/>
      <c r="TAC103" s="450"/>
      <c r="TAD103" s="450"/>
      <c r="TAE103" s="450"/>
      <c r="TAF103" s="450"/>
      <c r="TAG103" s="450"/>
      <c r="TAH103" s="450"/>
      <c r="TAI103" s="450"/>
      <c r="TAJ103" s="450"/>
      <c r="TAK103" s="450"/>
      <c r="TAL103" s="450"/>
      <c r="TAM103" s="450"/>
      <c r="TAN103" s="450"/>
      <c r="TAO103" s="450"/>
      <c r="TAP103" s="450"/>
      <c r="TAQ103" s="450"/>
      <c r="TAR103" s="450"/>
      <c r="TAS103" s="450"/>
      <c r="TAT103" s="450"/>
      <c r="TAU103" s="450"/>
      <c r="TAV103" s="450"/>
      <c r="TAW103" s="450"/>
      <c r="TAX103" s="450"/>
      <c r="TAY103" s="450"/>
      <c r="TAZ103" s="450"/>
      <c r="TBA103" s="450"/>
      <c r="TBB103" s="450"/>
      <c r="TBC103" s="450"/>
      <c r="TBD103" s="450"/>
      <c r="TBE103" s="450"/>
      <c r="TBF103" s="450"/>
      <c r="TBG103" s="450"/>
      <c r="TBH103" s="450"/>
      <c r="TBI103" s="450"/>
      <c r="TBJ103" s="450"/>
      <c r="TBK103" s="450"/>
      <c r="TBL103" s="450"/>
      <c r="TBM103" s="450"/>
      <c r="TBN103" s="450"/>
      <c r="TBO103" s="450"/>
      <c r="TBP103" s="450"/>
      <c r="TBQ103" s="450"/>
      <c r="TBR103" s="450"/>
      <c r="TBS103" s="450"/>
      <c r="TBT103" s="450"/>
      <c r="TBU103" s="450"/>
      <c r="TBV103" s="450"/>
      <c r="TBW103" s="450"/>
      <c r="TBX103" s="450"/>
      <c r="TBY103" s="450"/>
      <c r="TBZ103" s="450"/>
      <c r="TCA103" s="450"/>
      <c r="TCB103" s="450"/>
      <c r="TCC103" s="450"/>
      <c r="TCD103" s="450"/>
      <c r="TCE103" s="450"/>
      <c r="TCF103" s="450"/>
      <c r="TCG103" s="450"/>
      <c r="TCH103" s="450"/>
      <c r="TCI103" s="450"/>
      <c r="TCJ103" s="450"/>
      <c r="TCK103" s="450"/>
      <c r="TCL103" s="450"/>
      <c r="TCM103" s="450"/>
      <c r="TCN103" s="450"/>
      <c r="TCO103" s="450"/>
      <c r="TCP103" s="450"/>
      <c r="TCQ103" s="450"/>
      <c r="TCR103" s="450"/>
      <c r="TCS103" s="450"/>
      <c r="TCT103" s="450"/>
      <c r="TCU103" s="450"/>
      <c r="TCV103" s="450"/>
      <c r="TCW103" s="450"/>
      <c r="TCX103" s="450"/>
      <c r="TCY103" s="450"/>
      <c r="TCZ103" s="450"/>
      <c r="TDA103" s="450"/>
      <c r="TDB103" s="450"/>
      <c r="TDC103" s="450"/>
      <c r="TDD103" s="450"/>
      <c r="TDE103" s="450"/>
      <c r="TDF103" s="450"/>
      <c r="TDG103" s="450"/>
      <c r="TDH103" s="450"/>
      <c r="TDI103" s="450"/>
      <c r="TDJ103" s="450"/>
      <c r="TDK103" s="450"/>
      <c r="TDL103" s="450"/>
      <c r="TDM103" s="450"/>
      <c r="TDN103" s="450"/>
      <c r="TDO103" s="450"/>
      <c r="TDP103" s="450"/>
      <c r="TDQ103" s="450"/>
      <c r="TDR103" s="450"/>
      <c r="TDS103" s="450"/>
      <c r="TDT103" s="450"/>
      <c r="TDU103" s="450"/>
      <c r="TDV103" s="450"/>
      <c r="TDW103" s="450"/>
      <c r="TDX103" s="450"/>
      <c r="TDY103" s="450"/>
      <c r="TDZ103" s="450"/>
      <c r="TEA103" s="450"/>
      <c r="TEB103" s="450"/>
      <c r="TEC103" s="450"/>
      <c r="TED103" s="450"/>
      <c r="TEE103" s="450"/>
      <c r="TEF103" s="450"/>
      <c r="TEG103" s="450"/>
      <c r="TEH103" s="450"/>
      <c r="TEI103" s="450"/>
      <c r="TEJ103" s="450"/>
      <c r="TEK103" s="450"/>
      <c r="TEL103" s="450"/>
      <c r="TEM103" s="450"/>
      <c r="TEN103" s="450"/>
      <c r="TEO103" s="450"/>
      <c r="TEP103" s="450"/>
      <c r="TEQ103" s="450"/>
      <c r="TER103" s="450"/>
      <c r="TES103" s="450"/>
      <c r="TET103" s="450"/>
      <c r="TEU103" s="450"/>
      <c r="TEV103" s="450"/>
      <c r="TEW103" s="450"/>
      <c r="TEX103" s="450"/>
      <c r="TEY103" s="450"/>
      <c r="TEZ103" s="450"/>
      <c r="TFA103" s="450"/>
      <c r="TFB103" s="450"/>
      <c r="TFC103" s="450"/>
      <c r="TFD103" s="450"/>
      <c r="TFE103" s="450"/>
      <c r="TFF103" s="450"/>
      <c r="TFG103" s="450"/>
      <c r="TFH103" s="450"/>
      <c r="TFI103" s="450"/>
      <c r="TFJ103" s="450"/>
      <c r="TFK103" s="450"/>
      <c r="TFL103" s="450"/>
      <c r="TFM103" s="450"/>
      <c r="TFN103" s="450"/>
      <c r="TFO103" s="450"/>
      <c r="TFP103" s="450"/>
      <c r="TFQ103" s="450"/>
      <c r="TFR103" s="450"/>
      <c r="TFS103" s="450"/>
      <c r="TFT103" s="450"/>
      <c r="TFU103" s="450"/>
      <c r="TFV103" s="450"/>
      <c r="TFW103" s="450"/>
      <c r="TFX103" s="450"/>
      <c r="TFY103" s="450"/>
      <c r="TFZ103" s="450"/>
      <c r="TGA103" s="450"/>
      <c r="TGB103" s="450"/>
      <c r="TGC103" s="450"/>
      <c r="TGD103" s="450"/>
      <c r="TGE103" s="450"/>
      <c r="TGF103" s="450"/>
      <c r="TGG103" s="450"/>
      <c r="TGH103" s="450"/>
      <c r="TGI103" s="450"/>
      <c r="TGJ103" s="450"/>
      <c r="TGK103" s="450"/>
      <c r="TGL103" s="450"/>
      <c r="TGM103" s="450"/>
      <c r="TGN103" s="450"/>
      <c r="TGO103" s="450"/>
      <c r="TGP103" s="450"/>
      <c r="TGQ103" s="450"/>
      <c r="TGR103" s="450"/>
      <c r="TGS103" s="450"/>
      <c r="TGT103" s="450"/>
      <c r="TGU103" s="450"/>
      <c r="TGV103" s="450"/>
      <c r="TGW103" s="450"/>
      <c r="TGX103" s="450"/>
      <c r="TGY103" s="450"/>
      <c r="TGZ103" s="450"/>
      <c r="THA103" s="450"/>
      <c r="THB103" s="450"/>
      <c r="THC103" s="450"/>
      <c r="THD103" s="450"/>
      <c r="THE103" s="450"/>
      <c r="THF103" s="450"/>
      <c r="THG103" s="450"/>
      <c r="THH103" s="450"/>
      <c r="THI103" s="450"/>
      <c r="THJ103" s="450"/>
      <c r="THK103" s="450"/>
      <c r="THL103" s="450"/>
      <c r="THM103" s="450"/>
      <c r="THN103" s="450"/>
      <c r="THO103" s="450"/>
      <c r="THP103" s="450"/>
      <c r="THQ103" s="450"/>
      <c r="THR103" s="450"/>
      <c r="THS103" s="450"/>
      <c r="THT103" s="450"/>
      <c r="THU103" s="450"/>
      <c r="THV103" s="450"/>
      <c r="THW103" s="450"/>
      <c r="THX103" s="450"/>
      <c r="THY103" s="450"/>
      <c r="THZ103" s="450"/>
      <c r="TIA103" s="450"/>
      <c r="TIB103" s="450"/>
      <c r="TIC103" s="450"/>
      <c r="TID103" s="450"/>
      <c r="TIE103" s="450"/>
      <c r="TIF103" s="450"/>
      <c r="TIG103" s="450"/>
      <c r="TIH103" s="450"/>
      <c r="TII103" s="450"/>
      <c r="TIJ103" s="450"/>
      <c r="TIK103" s="450"/>
      <c r="TIL103" s="450"/>
      <c r="TIM103" s="450"/>
      <c r="TIN103" s="450"/>
      <c r="TIO103" s="450"/>
      <c r="TIP103" s="450"/>
      <c r="TIQ103" s="450"/>
      <c r="TIR103" s="450"/>
      <c r="TIS103" s="450"/>
      <c r="TIT103" s="450"/>
      <c r="TIU103" s="450"/>
      <c r="TIV103" s="450"/>
      <c r="TIW103" s="450"/>
      <c r="TIX103" s="450"/>
      <c r="TIY103" s="450"/>
      <c r="TIZ103" s="450"/>
      <c r="TJA103" s="450"/>
      <c r="TJB103" s="450"/>
      <c r="TJC103" s="450"/>
      <c r="TJD103" s="450"/>
      <c r="TJE103" s="450"/>
      <c r="TJF103" s="450"/>
      <c r="TJG103" s="450"/>
      <c r="TJH103" s="450"/>
      <c r="TJI103" s="450"/>
      <c r="TJJ103" s="450"/>
      <c r="TJK103" s="450"/>
      <c r="TJL103" s="450"/>
      <c r="TJM103" s="450"/>
      <c r="TJN103" s="450"/>
      <c r="TJO103" s="450"/>
      <c r="TJP103" s="450"/>
      <c r="TJQ103" s="450"/>
      <c r="TJR103" s="450"/>
      <c r="TJS103" s="450"/>
      <c r="TJT103" s="450"/>
      <c r="TJU103" s="450"/>
      <c r="TJV103" s="450"/>
      <c r="TJW103" s="450"/>
      <c r="TJX103" s="450"/>
      <c r="TJY103" s="450"/>
      <c r="TJZ103" s="450"/>
      <c r="TKA103" s="450"/>
      <c r="TKB103" s="450"/>
      <c r="TKC103" s="450"/>
      <c r="TKD103" s="450"/>
      <c r="TKE103" s="450"/>
      <c r="TKF103" s="450"/>
      <c r="TKG103" s="450"/>
      <c r="TKH103" s="450"/>
      <c r="TKI103" s="450"/>
      <c r="TKJ103" s="450"/>
      <c r="TKK103" s="450"/>
      <c r="TKL103" s="450"/>
      <c r="TKM103" s="450"/>
      <c r="TKN103" s="450"/>
      <c r="TKO103" s="450"/>
      <c r="TKP103" s="450"/>
      <c r="TKQ103" s="450"/>
      <c r="TKR103" s="450"/>
      <c r="TKS103" s="450"/>
      <c r="TKT103" s="450"/>
      <c r="TKU103" s="450"/>
      <c r="TKV103" s="450"/>
      <c r="TKW103" s="450"/>
      <c r="TKX103" s="450"/>
      <c r="TKY103" s="450"/>
      <c r="TKZ103" s="450"/>
      <c r="TLA103" s="450"/>
      <c r="TLB103" s="450"/>
      <c r="TLC103" s="450"/>
      <c r="TLD103" s="450"/>
      <c r="TLE103" s="450"/>
      <c r="TLF103" s="450"/>
      <c r="TLG103" s="450"/>
      <c r="TLH103" s="450"/>
      <c r="TLI103" s="450"/>
      <c r="TLJ103" s="450"/>
      <c r="TLK103" s="450"/>
      <c r="TLL103" s="450"/>
      <c r="TLM103" s="450"/>
      <c r="TLN103" s="450"/>
      <c r="TLO103" s="450"/>
      <c r="TLP103" s="450"/>
      <c r="TLQ103" s="450"/>
      <c r="TLR103" s="450"/>
      <c r="TLS103" s="450"/>
      <c r="TLT103" s="450"/>
      <c r="TLU103" s="450"/>
      <c r="TLV103" s="450"/>
      <c r="TLW103" s="450"/>
      <c r="TLX103" s="450"/>
      <c r="TLY103" s="450"/>
      <c r="TLZ103" s="450"/>
      <c r="TMA103" s="450"/>
      <c r="TMB103" s="450"/>
      <c r="TMC103" s="450"/>
      <c r="TMD103" s="450"/>
      <c r="TME103" s="450"/>
      <c r="TMF103" s="450"/>
      <c r="TMG103" s="450"/>
      <c r="TMH103" s="450"/>
      <c r="TMI103" s="450"/>
      <c r="TMJ103" s="450"/>
      <c r="TMK103" s="450"/>
      <c r="TML103" s="450"/>
      <c r="TMM103" s="450"/>
      <c r="TMN103" s="450"/>
      <c r="TMO103" s="450"/>
      <c r="TMP103" s="450"/>
      <c r="TMQ103" s="450"/>
      <c r="TMR103" s="450"/>
      <c r="TMS103" s="450"/>
      <c r="TMT103" s="450"/>
      <c r="TMU103" s="450"/>
      <c r="TMV103" s="450"/>
      <c r="TMW103" s="450"/>
      <c r="TMX103" s="450"/>
      <c r="TMY103" s="450"/>
      <c r="TMZ103" s="450"/>
      <c r="TNA103" s="450"/>
      <c r="TNB103" s="450"/>
      <c r="TNC103" s="450"/>
      <c r="TND103" s="450"/>
      <c r="TNE103" s="450"/>
      <c r="TNF103" s="450"/>
      <c r="TNG103" s="450"/>
      <c r="TNH103" s="450"/>
      <c r="TNI103" s="450"/>
      <c r="TNJ103" s="450"/>
      <c r="TNK103" s="450"/>
      <c r="TNL103" s="450"/>
      <c r="TNM103" s="450"/>
      <c r="TNN103" s="450"/>
      <c r="TNO103" s="450"/>
      <c r="TNP103" s="450"/>
      <c r="TNQ103" s="450"/>
      <c r="TNR103" s="450"/>
      <c r="TNS103" s="450"/>
      <c r="TNT103" s="450"/>
      <c r="TNU103" s="450"/>
      <c r="TNV103" s="450"/>
      <c r="TNW103" s="450"/>
      <c r="TNX103" s="450"/>
      <c r="TNY103" s="450"/>
      <c r="TNZ103" s="450"/>
      <c r="TOA103" s="450"/>
      <c r="TOB103" s="450"/>
      <c r="TOC103" s="450"/>
      <c r="TOD103" s="450"/>
      <c r="TOE103" s="450"/>
      <c r="TOF103" s="450"/>
      <c r="TOG103" s="450"/>
      <c r="TOH103" s="450"/>
      <c r="TOI103" s="450"/>
      <c r="TOJ103" s="450"/>
      <c r="TOK103" s="450"/>
      <c r="TOL103" s="450"/>
      <c r="TOM103" s="450"/>
      <c r="TON103" s="450"/>
      <c r="TOO103" s="450"/>
      <c r="TOP103" s="450"/>
      <c r="TOQ103" s="450"/>
      <c r="TOR103" s="450"/>
      <c r="TOS103" s="450"/>
      <c r="TOT103" s="450"/>
      <c r="TOU103" s="450"/>
      <c r="TOV103" s="450"/>
      <c r="TOW103" s="450"/>
      <c r="TOX103" s="450"/>
      <c r="TOY103" s="450"/>
      <c r="TOZ103" s="450"/>
      <c r="TPA103" s="450"/>
      <c r="TPB103" s="450"/>
      <c r="TPC103" s="450"/>
      <c r="TPD103" s="450"/>
      <c r="TPE103" s="450"/>
      <c r="TPF103" s="450"/>
      <c r="TPG103" s="450"/>
      <c r="TPH103" s="450"/>
      <c r="TPI103" s="450"/>
      <c r="TPJ103" s="450"/>
      <c r="TPK103" s="450"/>
      <c r="TPL103" s="450"/>
      <c r="TPM103" s="450"/>
      <c r="TPN103" s="450"/>
      <c r="TPO103" s="450"/>
      <c r="TPP103" s="450"/>
      <c r="TPQ103" s="450"/>
      <c r="TPR103" s="450"/>
      <c r="TPS103" s="450"/>
      <c r="TPT103" s="450"/>
      <c r="TPU103" s="450"/>
      <c r="TPV103" s="450"/>
      <c r="TPW103" s="450"/>
      <c r="TPX103" s="450"/>
      <c r="TPY103" s="450"/>
      <c r="TPZ103" s="450"/>
      <c r="TQA103" s="450"/>
      <c r="TQB103" s="450"/>
      <c r="TQC103" s="450"/>
      <c r="TQD103" s="450"/>
      <c r="TQE103" s="450"/>
      <c r="TQF103" s="450"/>
      <c r="TQG103" s="450"/>
      <c r="TQH103" s="450"/>
      <c r="TQI103" s="450"/>
      <c r="TQJ103" s="450"/>
      <c r="TQK103" s="450"/>
      <c r="TQL103" s="450"/>
      <c r="TQM103" s="450"/>
      <c r="TQN103" s="450"/>
      <c r="TQO103" s="450"/>
      <c r="TQP103" s="450"/>
      <c r="TQQ103" s="450"/>
      <c r="TQR103" s="450"/>
      <c r="TQS103" s="450"/>
      <c r="TQT103" s="450"/>
      <c r="TQU103" s="450"/>
      <c r="TQV103" s="450"/>
      <c r="TQW103" s="450"/>
      <c r="TQX103" s="450"/>
      <c r="TQY103" s="450"/>
      <c r="TQZ103" s="450"/>
      <c r="TRA103" s="450"/>
      <c r="TRB103" s="450"/>
      <c r="TRC103" s="450"/>
      <c r="TRD103" s="450"/>
      <c r="TRE103" s="450"/>
      <c r="TRF103" s="450"/>
      <c r="TRG103" s="450"/>
      <c r="TRH103" s="450"/>
      <c r="TRI103" s="450"/>
      <c r="TRJ103" s="450"/>
      <c r="TRK103" s="450"/>
      <c r="TRL103" s="450"/>
      <c r="TRM103" s="450"/>
      <c r="TRN103" s="450"/>
      <c r="TRO103" s="450"/>
      <c r="TRP103" s="450"/>
      <c r="TRQ103" s="450"/>
      <c r="TRR103" s="450"/>
      <c r="TRS103" s="450"/>
      <c r="TRT103" s="450"/>
      <c r="TRU103" s="450"/>
      <c r="TRV103" s="450"/>
      <c r="TRW103" s="450"/>
      <c r="TRX103" s="450"/>
      <c r="TRY103" s="450"/>
      <c r="TRZ103" s="450"/>
      <c r="TSA103" s="450"/>
      <c r="TSB103" s="450"/>
      <c r="TSC103" s="450"/>
      <c r="TSD103" s="450"/>
      <c r="TSE103" s="450"/>
      <c r="TSF103" s="450"/>
      <c r="TSG103" s="450"/>
      <c r="TSH103" s="450"/>
      <c r="TSI103" s="450"/>
      <c r="TSJ103" s="450"/>
      <c r="TSK103" s="450"/>
      <c r="TSL103" s="450"/>
      <c r="TSM103" s="450"/>
      <c r="TSN103" s="450"/>
      <c r="TSO103" s="450"/>
      <c r="TSP103" s="450"/>
      <c r="TSQ103" s="450"/>
      <c r="TSR103" s="450"/>
      <c r="TSS103" s="450"/>
      <c r="TST103" s="450"/>
      <c r="TSU103" s="450"/>
      <c r="TSV103" s="450"/>
      <c r="TSW103" s="450"/>
      <c r="TSX103" s="450"/>
      <c r="TSY103" s="450"/>
      <c r="TSZ103" s="450"/>
      <c r="TTA103" s="450"/>
      <c r="TTB103" s="450"/>
      <c r="TTC103" s="450"/>
      <c r="TTD103" s="450"/>
      <c r="TTE103" s="450"/>
      <c r="TTF103" s="450"/>
      <c r="TTG103" s="450"/>
      <c r="TTH103" s="450"/>
      <c r="TTI103" s="450"/>
      <c r="TTJ103" s="450"/>
      <c r="TTK103" s="450"/>
      <c r="TTL103" s="450"/>
      <c r="TTM103" s="450"/>
      <c r="TTN103" s="450"/>
      <c r="TTO103" s="450"/>
      <c r="TTP103" s="450"/>
      <c r="TTQ103" s="450"/>
      <c r="TTR103" s="450"/>
      <c r="TTS103" s="450"/>
      <c r="TTT103" s="450"/>
      <c r="TTU103" s="450"/>
      <c r="TTV103" s="450"/>
      <c r="TTW103" s="450"/>
      <c r="TTX103" s="450"/>
      <c r="TTY103" s="450"/>
      <c r="TTZ103" s="450"/>
      <c r="TUA103" s="450"/>
      <c r="TUB103" s="450"/>
      <c r="TUC103" s="450"/>
      <c r="TUD103" s="450"/>
      <c r="TUE103" s="450"/>
      <c r="TUF103" s="450"/>
      <c r="TUG103" s="450"/>
      <c r="TUH103" s="450"/>
      <c r="TUI103" s="450"/>
      <c r="TUJ103" s="450"/>
      <c r="TUK103" s="450"/>
      <c r="TUL103" s="450"/>
      <c r="TUM103" s="450"/>
      <c r="TUN103" s="450"/>
      <c r="TUO103" s="450"/>
      <c r="TUP103" s="450"/>
      <c r="TUQ103" s="450"/>
      <c r="TUR103" s="450"/>
      <c r="TUS103" s="450"/>
      <c r="TUT103" s="450"/>
      <c r="TUU103" s="450"/>
      <c r="TUV103" s="450"/>
      <c r="TUW103" s="450"/>
      <c r="TUX103" s="450"/>
      <c r="TUY103" s="450"/>
      <c r="TUZ103" s="450"/>
      <c r="TVA103" s="450"/>
      <c r="TVB103" s="450"/>
      <c r="TVC103" s="450"/>
      <c r="TVD103" s="450"/>
      <c r="TVE103" s="450"/>
      <c r="TVF103" s="450"/>
      <c r="TVG103" s="450"/>
      <c r="TVH103" s="450"/>
      <c r="TVI103" s="450"/>
      <c r="TVJ103" s="450"/>
      <c r="TVK103" s="450"/>
      <c r="TVL103" s="450"/>
      <c r="TVM103" s="450"/>
      <c r="TVN103" s="450"/>
      <c r="TVO103" s="450"/>
      <c r="TVP103" s="450"/>
      <c r="TVQ103" s="450"/>
      <c r="TVR103" s="450"/>
      <c r="TVS103" s="450"/>
      <c r="TVT103" s="450"/>
      <c r="TVU103" s="450"/>
      <c r="TVV103" s="450"/>
      <c r="TVW103" s="450"/>
      <c r="TVX103" s="450"/>
      <c r="TVY103" s="450"/>
      <c r="TVZ103" s="450"/>
      <c r="TWA103" s="450"/>
      <c r="TWB103" s="450"/>
      <c r="TWC103" s="450"/>
      <c r="TWD103" s="450"/>
      <c r="TWE103" s="450"/>
      <c r="TWF103" s="450"/>
      <c r="TWG103" s="450"/>
      <c r="TWH103" s="450"/>
      <c r="TWI103" s="450"/>
      <c r="TWJ103" s="450"/>
      <c r="TWK103" s="450"/>
      <c r="TWL103" s="450"/>
      <c r="TWM103" s="450"/>
      <c r="TWN103" s="450"/>
      <c r="TWO103" s="450"/>
      <c r="TWP103" s="450"/>
      <c r="TWQ103" s="450"/>
      <c r="TWR103" s="450"/>
      <c r="TWS103" s="450"/>
      <c r="TWT103" s="450"/>
      <c r="TWU103" s="450"/>
      <c r="TWV103" s="450"/>
      <c r="TWW103" s="450"/>
      <c r="TWX103" s="450"/>
      <c r="TWY103" s="450"/>
      <c r="TWZ103" s="450"/>
      <c r="TXA103" s="450"/>
      <c r="TXB103" s="450"/>
      <c r="TXC103" s="450"/>
      <c r="TXD103" s="450"/>
      <c r="TXE103" s="450"/>
      <c r="TXF103" s="450"/>
      <c r="TXG103" s="450"/>
      <c r="TXH103" s="450"/>
      <c r="TXI103" s="450"/>
      <c r="TXJ103" s="450"/>
      <c r="TXK103" s="450"/>
      <c r="TXL103" s="450"/>
      <c r="TXM103" s="450"/>
      <c r="TXN103" s="450"/>
      <c r="TXO103" s="450"/>
      <c r="TXP103" s="450"/>
      <c r="TXQ103" s="450"/>
      <c r="TXR103" s="450"/>
      <c r="TXS103" s="450"/>
      <c r="TXT103" s="450"/>
      <c r="TXU103" s="450"/>
      <c r="TXV103" s="450"/>
      <c r="TXW103" s="450"/>
      <c r="TXX103" s="450"/>
      <c r="TXY103" s="450"/>
      <c r="TXZ103" s="450"/>
      <c r="TYA103" s="450"/>
      <c r="TYB103" s="450"/>
      <c r="TYC103" s="450"/>
      <c r="TYD103" s="450"/>
      <c r="TYE103" s="450"/>
      <c r="TYF103" s="450"/>
      <c r="TYG103" s="450"/>
      <c r="TYH103" s="450"/>
      <c r="TYI103" s="450"/>
      <c r="TYJ103" s="450"/>
      <c r="TYK103" s="450"/>
      <c r="TYL103" s="450"/>
      <c r="TYM103" s="450"/>
      <c r="TYN103" s="450"/>
      <c r="TYO103" s="450"/>
      <c r="TYP103" s="450"/>
      <c r="TYQ103" s="450"/>
      <c r="TYR103" s="450"/>
      <c r="TYS103" s="450"/>
      <c r="TYT103" s="450"/>
      <c r="TYU103" s="450"/>
      <c r="TYV103" s="450"/>
      <c r="TYW103" s="450"/>
      <c r="TYX103" s="450"/>
      <c r="TYY103" s="450"/>
      <c r="TYZ103" s="450"/>
      <c r="TZA103" s="450"/>
      <c r="TZB103" s="450"/>
      <c r="TZC103" s="450"/>
      <c r="TZD103" s="450"/>
      <c r="TZE103" s="450"/>
      <c r="TZF103" s="450"/>
      <c r="TZG103" s="450"/>
      <c r="TZH103" s="450"/>
      <c r="TZI103" s="450"/>
      <c r="TZJ103" s="450"/>
      <c r="TZK103" s="450"/>
      <c r="TZL103" s="450"/>
      <c r="TZM103" s="450"/>
      <c r="TZN103" s="450"/>
      <c r="TZO103" s="450"/>
      <c r="TZP103" s="450"/>
      <c r="TZQ103" s="450"/>
      <c r="TZR103" s="450"/>
      <c r="TZS103" s="450"/>
      <c r="TZT103" s="450"/>
      <c r="TZU103" s="450"/>
      <c r="TZV103" s="450"/>
      <c r="TZW103" s="450"/>
      <c r="TZX103" s="450"/>
      <c r="TZY103" s="450"/>
      <c r="TZZ103" s="450"/>
      <c r="UAA103" s="450"/>
      <c r="UAB103" s="450"/>
      <c r="UAC103" s="450"/>
      <c r="UAD103" s="450"/>
      <c r="UAE103" s="450"/>
      <c r="UAF103" s="450"/>
      <c r="UAG103" s="450"/>
      <c r="UAH103" s="450"/>
      <c r="UAI103" s="450"/>
      <c r="UAJ103" s="450"/>
      <c r="UAK103" s="450"/>
      <c r="UAL103" s="450"/>
      <c r="UAM103" s="450"/>
      <c r="UAN103" s="450"/>
      <c r="UAO103" s="450"/>
      <c r="UAP103" s="450"/>
      <c r="UAQ103" s="450"/>
      <c r="UAR103" s="450"/>
      <c r="UAS103" s="450"/>
      <c r="UAT103" s="450"/>
      <c r="UAU103" s="450"/>
      <c r="UAV103" s="450"/>
      <c r="UAW103" s="450"/>
      <c r="UAX103" s="450"/>
      <c r="UAY103" s="450"/>
      <c r="UAZ103" s="450"/>
      <c r="UBA103" s="450"/>
      <c r="UBB103" s="450"/>
      <c r="UBC103" s="450"/>
      <c r="UBD103" s="450"/>
      <c r="UBE103" s="450"/>
      <c r="UBF103" s="450"/>
      <c r="UBG103" s="450"/>
      <c r="UBH103" s="450"/>
      <c r="UBI103" s="450"/>
      <c r="UBJ103" s="450"/>
      <c r="UBK103" s="450"/>
      <c r="UBL103" s="450"/>
      <c r="UBM103" s="450"/>
      <c r="UBN103" s="450"/>
      <c r="UBO103" s="450"/>
      <c r="UBP103" s="450"/>
      <c r="UBQ103" s="450"/>
      <c r="UBR103" s="450"/>
      <c r="UBS103" s="450"/>
      <c r="UBT103" s="450"/>
      <c r="UBU103" s="450"/>
      <c r="UBV103" s="450"/>
      <c r="UBW103" s="450"/>
      <c r="UBX103" s="450"/>
      <c r="UBY103" s="450"/>
      <c r="UBZ103" s="450"/>
      <c r="UCA103" s="450"/>
      <c r="UCB103" s="450"/>
      <c r="UCC103" s="450"/>
      <c r="UCD103" s="450"/>
      <c r="UCE103" s="450"/>
      <c r="UCF103" s="450"/>
      <c r="UCG103" s="450"/>
      <c r="UCH103" s="450"/>
      <c r="UCI103" s="450"/>
      <c r="UCJ103" s="450"/>
      <c r="UCK103" s="450"/>
      <c r="UCL103" s="450"/>
      <c r="UCM103" s="450"/>
      <c r="UCN103" s="450"/>
      <c r="UCO103" s="450"/>
      <c r="UCP103" s="450"/>
      <c r="UCQ103" s="450"/>
      <c r="UCR103" s="450"/>
      <c r="UCS103" s="450"/>
      <c r="UCT103" s="450"/>
      <c r="UCU103" s="450"/>
      <c r="UCV103" s="450"/>
      <c r="UCW103" s="450"/>
      <c r="UCX103" s="450"/>
      <c r="UCY103" s="450"/>
      <c r="UCZ103" s="450"/>
      <c r="UDA103" s="450"/>
      <c r="UDB103" s="450"/>
      <c r="UDC103" s="450"/>
      <c r="UDD103" s="450"/>
      <c r="UDE103" s="450"/>
      <c r="UDF103" s="450"/>
      <c r="UDG103" s="450"/>
      <c r="UDH103" s="450"/>
      <c r="UDI103" s="450"/>
      <c r="UDJ103" s="450"/>
      <c r="UDK103" s="450"/>
      <c r="UDL103" s="450"/>
      <c r="UDM103" s="450"/>
      <c r="UDN103" s="450"/>
      <c r="UDO103" s="450"/>
      <c r="UDP103" s="450"/>
      <c r="UDQ103" s="450"/>
      <c r="UDR103" s="450"/>
      <c r="UDS103" s="450"/>
      <c r="UDT103" s="450"/>
      <c r="UDU103" s="450"/>
      <c r="UDV103" s="450"/>
      <c r="UDW103" s="450"/>
      <c r="UDX103" s="450"/>
      <c r="UDY103" s="450"/>
      <c r="UDZ103" s="450"/>
      <c r="UEA103" s="450"/>
      <c r="UEB103" s="450"/>
      <c r="UEC103" s="450"/>
      <c r="UED103" s="450"/>
      <c r="UEE103" s="450"/>
      <c r="UEF103" s="450"/>
      <c r="UEG103" s="450"/>
      <c r="UEH103" s="450"/>
      <c r="UEI103" s="450"/>
      <c r="UEJ103" s="450"/>
      <c r="UEK103" s="450"/>
      <c r="UEL103" s="450"/>
      <c r="UEM103" s="450"/>
      <c r="UEN103" s="450"/>
      <c r="UEO103" s="450"/>
      <c r="UEP103" s="450"/>
      <c r="UEQ103" s="450"/>
      <c r="UER103" s="450"/>
      <c r="UES103" s="450"/>
      <c r="UET103" s="450"/>
      <c r="UEU103" s="450"/>
      <c r="UEV103" s="450"/>
      <c r="UEW103" s="450"/>
      <c r="UEX103" s="450"/>
      <c r="UEY103" s="450"/>
      <c r="UEZ103" s="450"/>
      <c r="UFA103" s="450"/>
      <c r="UFB103" s="450"/>
      <c r="UFC103" s="450"/>
      <c r="UFD103" s="450"/>
      <c r="UFE103" s="450"/>
      <c r="UFF103" s="450"/>
      <c r="UFG103" s="450"/>
      <c r="UFH103" s="450"/>
      <c r="UFI103" s="450"/>
      <c r="UFJ103" s="450"/>
      <c r="UFK103" s="450"/>
      <c r="UFL103" s="450"/>
      <c r="UFM103" s="450"/>
      <c r="UFN103" s="450"/>
      <c r="UFO103" s="450"/>
      <c r="UFP103" s="450"/>
      <c r="UFQ103" s="450"/>
      <c r="UFR103" s="450"/>
      <c r="UFS103" s="450"/>
      <c r="UFT103" s="450"/>
      <c r="UFU103" s="450"/>
      <c r="UFV103" s="450"/>
      <c r="UFW103" s="450"/>
      <c r="UFX103" s="450"/>
      <c r="UFY103" s="450"/>
      <c r="UFZ103" s="450"/>
      <c r="UGA103" s="450"/>
      <c r="UGB103" s="450"/>
      <c r="UGC103" s="450"/>
      <c r="UGD103" s="450"/>
      <c r="UGE103" s="450"/>
      <c r="UGF103" s="450"/>
      <c r="UGG103" s="450"/>
      <c r="UGH103" s="450"/>
      <c r="UGI103" s="450"/>
      <c r="UGJ103" s="450"/>
      <c r="UGK103" s="450"/>
      <c r="UGL103" s="450"/>
      <c r="UGM103" s="450"/>
      <c r="UGN103" s="450"/>
      <c r="UGO103" s="450"/>
      <c r="UGP103" s="450"/>
      <c r="UGQ103" s="450"/>
      <c r="UGR103" s="450"/>
      <c r="UGS103" s="450"/>
      <c r="UGT103" s="450"/>
      <c r="UGU103" s="450"/>
      <c r="UGV103" s="450"/>
      <c r="UGW103" s="450"/>
      <c r="UGX103" s="450"/>
      <c r="UGY103" s="450"/>
      <c r="UGZ103" s="450"/>
      <c r="UHA103" s="450"/>
      <c r="UHB103" s="450"/>
      <c r="UHC103" s="450"/>
      <c r="UHD103" s="450"/>
      <c r="UHE103" s="450"/>
      <c r="UHF103" s="450"/>
      <c r="UHG103" s="450"/>
      <c r="UHH103" s="450"/>
      <c r="UHI103" s="450"/>
      <c r="UHJ103" s="450"/>
      <c r="UHK103" s="450"/>
      <c r="UHL103" s="450"/>
      <c r="UHM103" s="450"/>
      <c r="UHN103" s="450"/>
      <c r="UHO103" s="450"/>
      <c r="UHP103" s="450"/>
      <c r="UHQ103" s="450"/>
      <c r="UHR103" s="450"/>
      <c r="UHS103" s="450"/>
      <c r="UHT103" s="450"/>
      <c r="UHU103" s="450"/>
      <c r="UHV103" s="450"/>
      <c r="UHW103" s="450"/>
      <c r="UHX103" s="450"/>
      <c r="UHY103" s="450"/>
      <c r="UHZ103" s="450"/>
      <c r="UIA103" s="450"/>
      <c r="UIB103" s="450"/>
      <c r="UIC103" s="450"/>
      <c r="UID103" s="450"/>
      <c r="UIE103" s="450"/>
      <c r="UIF103" s="450"/>
      <c r="UIG103" s="450"/>
      <c r="UIH103" s="450"/>
      <c r="UII103" s="450"/>
      <c r="UIJ103" s="450"/>
      <c r="UIK103" s="450"/>
      <c r="UIL103" s="450"/>
      <c r="UIM103" s="450"/>
      <c r="UIN103" s="450"/>
      <c r="UIO103" s="450"/>
      <c r="UIP103" s="450"/>
      <c r="UIQ103" s="450"/>
      <c r="UIR103" s="450"/>
      <c r="UIS103" s="450"/>
      <c r="UIT103" s="450"/>
      <c r="UIU103" s="450"/>
      <c r="UIV103" s="450"/>
      <c r="UIW103" s="450"/>
      <c r="UIX103" s="450"/>
      <c r="UIY103" s="450"/>
      <c r="UIZ103" s="450"/>
      <c r="UJA103" s="450"/>
      <c r="UJB103" s="450"/>
      <c r="UJC103" s="450"/>
      <c r="UJD103" s="450"/>
      <c r="UJE103" s="450"/>
      <c r="UJF103" s="450"/>
      <c r="UJG103" s="450"/>
      <c r="UJH103" s="450"/>
      <c r="UJI103" s="450"/>
      <c r="UJJ103" s="450"/>
      <c r="UJK103" s="450"/>
      <c r="UJL103" s="450"/>
      <c r="UJM103" s="450"/>
      <c r="UJN103" s="450"/>
      <c r="UJO103" s="450"/>
      <c r="UJP103" s="450"/>
      <c r="UJQ103" s="450"/>
      <c r="UJR103" s="450"/>
      <c r="UJS103" s="450"/>
      <c r="UJT103" s="450"/>
      <c r="UJU103" s="450"/>
      <c r="UJV103" s="450"/>
      <c r="UJW103" s="450"/>
      <c r="UJX103" s="450"/>
      <c r="UJY103" s="450"/>
      <c r="UJZ103" s="450"/>
      <c r="UKA103" s="450"/>
      <c r="UKB103" s="450"/>
      <c r="UKC103" s="450"/>
      <c r="UKD103" s="450"/>
      <c r="UKE103" s="450"/>
      <c r="UKF103" s="450"/>
      <c r="UKG103" s="450"/>
      <c r="UKH103" s="450"/>
      <c r="UKI103" s="450"/>
      <c r="UKJ103" s="450"/>
      <c r="UKK103" s="450"/>
      <c r="UKL103" s="450"/>
      <c r="UKM103" s="450"/>
      <c r="UKN103" s="450"/>
      <c r="UKO103" s="450"/>
      <c r="UKP103" s="450"/>
      <c r="UKQ103" s="450"/>
      <c r="UKR103" s="450"/>
      <c r="UKS103" s="450"/>
      <c r="UKT103" s="450"/>
      <c r="UKU103" s="450"/>
      <c r="UKV103" s="450"/>
      <c r="UKW103" s="450"/>
      <c r="UKX103" s="450"/>
      <c r="UKY103" s="450"/>
      <c r="UKZ103" s="450"/>
      <c r="ULA103" s="450"/>
      <c r="ULB103" s="450"/>
      <c r="ULC103" s="450"/>
      <c r="ULD103" s="450"/>
      <c r="ULE103" s="450"/>
      <c r="ULF103" s="450"/>
      <c r="ULG103" s="450"/>
      <c r="ULH103" s="450"/>
      <c r="ULI103" s="450"/>
      <c r="ULJ103" s="450"/>
      <c r="ULK103" s="450"/>
      <c r="ULL103" s="450"/>
      <c r="ULM103" s="450"/>
      <c r="ULN103" s="450"/>
      <c r="ULO103" s="450"/>
      <c r="ULP103" s="450"/>
      <c r="ULQ103" s="450"/>
      <c r="ULR103" s="450"/>
      <c r="ULS103" s="450"/>
      <c r="ULT103" s="450"/>
      <c r="ULU103" s="450"/>
      <c r="ULV103" s="450"/>
      <c r="ULW103" s="450"/>
      <c r="ULX103" s="450"/>
      <c r="ULY103" s="450"/>
      <c r="ULZ103" s="450"/>
      <c r="UMA103" s="450"/>
      <c r="UMB103" s="450"/>
      <c r="UMC103" s="450"/>
      <c r="UMD103" s="450"/>
      <c r="UME103" s="450"/>
      <c r="UMF103" s="450"/>
      <c r="UMG103" s="450"/>
      <c r="UMH103" s="450"/>
      <c r="UMI103" s="450"/>
      <c r="UMJ103" s="450"/>
      <c r="UMK103" s="450"/>
      <c r="UML103" s="450"/>
      <c r="UMM103" s="450"/>
      <c r="UMN103" s="450"/>
      <c r="UMO103" s="450"/>
      <c r="UMP103" s="450"/>
      <c r="UMQ103" s="450"/>
      <c r="UMR103" s="450"/>
      <c r="UMS103" s="450"/>
      <c r="UMT103" s="450"/>
      <c r="UMU103" s="450"/>
      <c r="UMV103" s="450"/>
      <c r="UMW103" s="450"/>
      <c r="UMX103" s="450"/>
      <c r="UMY103" s="450"/>
      <c r="UMZ103" s="450"/>
      <c r="UNA103" s="450"/>
      <c r="UNB103" s="450"/>
      <c r="UNC103" s="450"/>
      <c r="UND103" s="450"/>
      <c r="UNE103" s="450"/>
      <c r="UNF103" s="450"/>
      <c r="UNG103" s="450"/>
      <c r="UNH103" s="450"/>
      <c r="UNI103" s="450"/>
      <c r="UNJ103" s="450"/>
      <c r="UNK103" s="450"/>
      <c r="UNL103" s="450"/>
      <c r="UNM103" s="450"/>
      <c r="UNN103" s="450"/>
      <c r="UNO103" s="450"/>
      <c r="UNP103" s="450"/>
      <c r="UNQ103" s="450"/>
      <c r="UNR103" s="450"/>
      <c r="UNS103" s="450"/>
      <c r="UNT103" s="450"/>
      <c r="UNU103" s="450"/>
      <c r="UNV103" s="450"/>
      <c r="UNW103" s="450"/>
      <c r="UNX103" s="450"/>
      <c r="UNY103" s="450"/>
      <c r="UNZ103" s="450"/>
      <c r="UOA103" s="450"/>
      <c r="UOB103" s="450"/>
      <c r="UOC103" s="450"/>
      <c r="UOD103" s="450"/>
      <c r="UOE103" s="450"/>
      <c r="UOF103" s="450"/>
      <c r="UOG103" s="450"/>
      <c r="UOH103" s="450"/>
      <c r="UOI103" s="450"/>
      <c r="UOJ103" s="450"/>
      <c r="UOK103" s="450"/>
      <c r="UOL103" s="450"/>
      <c r="UOM103" s="450"/>
      <c r="UON103" s="450"/>
      <c r="UOO103" s="450"/>
      <c r="UOP103" s="450"/>
      <c r="UOQ103" s="450"/>
      <c r="UOR103" s="450"/>
      <c r="UOS103" s="450"/>
      <c r="UOT103" s="450"/>
      <c r="UOU103" s="450"/>
      <c r="UOV103" s="450"/>
      <c r="UOW103" s="450"/>
      <c r="UOX103" s="450"/>
      <c r="UOY103" s="450"/>
      <c r="UOZ103" s="450"/>
      <c r="UPA103" s="450"/>
      <c r="UPB103" s="450"/>
      <c r="UPC103" s="450"/>
      <c r="UPD103" s="450"/>
      <c r="UPE103" s="450"/>
      <c r="UPF103" s="450"/>
      <c r="UPG103" s="450"/>
      <c r="UPH103" s="450"/>
      <c r="UPI103" s="450"/>
      <c r="UPJ103" s="450"/>
      <c r="UPK103" s="450"/>
      <c r="UPL103" s="450"/>
      <c r="UPM103" s="450"/>
      <c r="UPN103" s="450"/>
      <c r="UPO103" s="450"/>
      <c r="UPP103" s="450"/>
      <c r="UPQ103" s="450"/>
      <c r="UPR103" s="450"/>
      <c r="UPS103" s="450"/>
      <c r="UPT103" s="450"/>
      <c r="UPU103" s="450"/>
      <c r="UPV103" s="450"/>
      <c r="UPW103" s="450"/>
      <c r="UPX103" s="450"/>
      <c r="UPY103" s="450"/>
      <c r="UPZ103" s="450"/>
      <c r="UQA103" s="450"/>
      <c r="UQB103" s="450"/>
      <c r="UQC103" s="450"/>
      <c r="UQD103" s="450"/>
      <c r="UQE103" s="450"/>
      <c r="UQF103" s="450"/>
      <c r="UQG103" s="450"/>
      <c r="UQH103" s="450"/>
      <c r="UQI103" s="450"/>
      <c r="UQJ103" s="450"/>
      <c r="UQK103" s="450"/>
      <c r="UQL103" s="450"/>
      <c r="UQM103" s="450"/>
      <c r="UQN103" s="450"/>
      <c r="UQO103" s="450"/>
      <c r="UQP103" s="450"/>
      <c r="UQQ103" s="450"/>
      <c r="UQR103" s="450"/>
      <c r="UQS103" s="450"/>
      <c r="UQT103" s="450"/>
      <c r="UQU103" s="450"/>
      <c r="UQV103" s="450"/>
      <c r="UQW103" s="450"/>
      <c r="UQX103" s="450"/>
      <c r="UQY103" s="450"/>
      <c r="UQZ103" s="450"/>
      <c r="URA103" s="450"/>
      <c r="URB103" s="450"/>
      <c r="URC103" s="450"/>
      <c r="URD103" s="450"/>
      <c r="URE103" s="450"/>
      <c r="URF103" s="450"/>
      <c r="URG103" s="450"/>
      <c r="URH103" s="450"/>
      <c r="URI103" s="450"/>
      <c r="URJ103" s="450"/>
      <c r="URK103" s="450"/>
      <c r="URL103" s="450"/>
      <c r="URM103" s="450"/>
      <c r="URN103" s="450"/>
      <c r="URO103" s="450"/>
      <c r="URP103" s="450"/>
      <c r="URQ103" s="450"/>
      <c r="URR103" s="450"/>
      <c r="URS103" s="450"/>
      <c r="URT103" s="450"/>
      <c r="URU103" s="450"/>
      <c r="URV103" s="450"/>
      <c r="URW103" s="450"/>
      <c r="URX103" s="450"/>
      <c r="URY103" s="450"/>
      <c r="URZ103" s="450"/>
      <c r="USA103" s="450"/>
      <c r="USB103" s="450"/>
      <c r="USC103" s="450"/>
      <c r="USD103" s="450"/>
      <c r="USE103" s="450"/>
      <c r="USF103" s="450"/>
      <c r="USG103" s="450"/>
      <c r="USH103" s="450"/>
      <c r="USI103" s="450"/>
      <c r="USJ103" s="450"/>
      <c r="USK103" s="450"/>
      <c r="USL103" s="450"/>
      <c r="USM103" s="450"/>
      <c r="USN103" s="450"/>
      <c r="USO103" s="450"/>
      <c r="USP103" s="450"/>
      <c r="USQ103" s="450"/>
      <c r="USR103" s="450"/>
      <c r="USS103" s="450"/>
      <c r="UST103" s="450"/>
      <c r="USU103" s="450"/>
      <c r="USV103" s="450"/>
      <c r="USW103" s="450"/>
      <c r="USX103" s="450"/>
      <c r="USY103" s="450"/>
      <c r="USZ103" s="450"/>
      <c r="UTA103" s="450"/>
      <c r="UTB103" s="450"/>
      <c r="UTC103" s="450"/>
      <c r="UTD103" s="450"/>
      <c r="UTE103" s="450"/>
      <c r="UTF103" s="450"/>
      <c r="UTG103" s="450"/>
      <c r="UTH103" s="450"/>
      <c r="UTI103" s="450"/>
      <c r="UTJ103" s="450"/>
      <c r="UTK103" s="450"/>
      <c r="UTL103" s="450"/>
      <c r="UTM103" s="450"/>
      <c r="UTN103" s="450"/>
      <c r="UTO103" s="450"/>
      <c r="UTP103" s="450"/>
      <c r="UTQ103" s="450"/>
      <c r="UTR103" s="450"/>
      <c r="UTS103" s="450"/>
      <c r="UTT103" s="450"/>
      <c r="UTU103" s="450"/>
      <c r="UTV103" s="450"/>
      <c r="UTW103" s="450"/>
      <c r="UTX103" s="450"/>
      <c r="UTY103" s="450"/>
      <c r="UTZ103" s="450"/>
      <c r="UUA103" s="450"/>
      <c r="UUB103" s="450"/>
      <c r="UUC103" s="450"/>
      <c r="UUD103" s="450"/>
      <c r="UUE103" s="450"/>
      <c r="UUF103" s="450"/>
      <c r="UUG103" s="450"/>
      <c r="UUH103" s="450"/>
      <c r="UUI103" s="450"/>
      <c r="UUJ103" s="450"/>
      <c r="UUK103" s="450"/>
      <c r="UUL103" s="450"/>
      <c r="UUM103" s="450"/>
      <c r="UUN103" s="450"/>
      <c r="UUO103" s="450"/>
      <c r="UUP103" s="450"/>
      <c r="UUQ103" s="450"/>
      <c r="UUR103" s="450"/>
      <c r="UUS103" s="450"/>
      <c r="UUT103" s="450"/>
      <c r="UUU103" s="450"/>
      <c r="UUV103" s="450"/>
      <c r="UUW103" s="450"/>
      <c r="UUX103" s="450"/>
      <c r="UUY103" s="450"/>
      <c r="UUZ103" s="450"/>
      <c r="UVA103" s="450"/>
      <c r="UVB103" s="450"/>
      <c r="UVC103" s="450"/>
      <c r="UVD103" s="450"/>
      <c r="UVE103" s="450"/>
      <c r="UVF103" s="450"/>
      <c r="UVG103" s="450"/>
      <c r="UVH103" s="450"/>
      <c r="UVI103" s="450"/>
      <c r="UVJ103" s="450"/>
      <c r="UVK103" s="450"/>
      <c r="UVL103" s="450"/>
      <c r="UVM103" s="450"/>
      <c r="UVN103" s="450"/>
      <c r="UVO103" s="450"/>
      <c r="UVP103" s="450"/>
      <c r="UVQ103" s="450"/>
      <c r="UVR103" s="450"/>
      <c r="UVS103" s="450"/>
      <c r="UVT103" s="450"/>
      <c r="UVU103" s="450"/>
      <c r="UVV103" s="450"/>
      <c r="UVW103" s="450"/>
      <c r="UVX103" s="450"/>
      <c r="UVY103" s="450"/>
      <c r="UVZ103" s="450"/>
      <c r="UWA103" s="450"/>
      <c r="UWB103" s="450"/>
      <c r="UWC103" s="450"/>
      <c r="UWD103" s="450"/>
      <c r="UWE103" s="450"/>
      <c r="UWF103" s="450"/>
      <c r="UWG103" s="450"/>
      <c r="UWH103" s="450"/>
      <c r="UWI103" s="450"/>
      <c r="UWJ103" s="450"/>
      <c r="UWK103" s="450"/>
      <c r="UWL103" s="450"/>
      <c r="UWM103" s="450"/>
      <c r="UWN103" s="450"/>
      <c r="UWO103" s="450"/>
      <c r="UWP103" s="450"/>
      <c r="UWQ103" s="450"/>
      <c r="UWR103" s="450"/>
      <c r="UWS103" s="450"/>
      <c r="UWT103" s="450"/>
      <c r="UWU103" s="450"/>
      <c r="UWV103" s="450"/>
      <c r="UWW103" s="450"/>
      <c r="UWX103" s="450"/>
      <c r="UWY103" s="450"/>
      <c r="UWZ103" s="450"/>
      <c r="UXA103" s="450"/>
      <c r="UXB103" s="450"/>
      <c r="UXC103" s="450"/>
      <c r="UXD103" s="450"/>
      <c r="UXE103" s="450"/>
      <c r="UXF103" s="450"/>
      <c r="UXG103" s="450"/>
      <c r="UXH103" s="450"/>
      <c r="UXI103" s="450"/>
      <c r="UXJ103" s="450"/>
      <c r="UXK103" s="450"/>
      <c r="UXL103" s="450"/>
      <c r="UXM103" s="450"/>
      <c r="UXN103" s="450"/>
      <c r="UXO103" s="450"/>
      <c r="UXP103" s="450"/>
      <c r="UXQ103" s="450"/>
      <c r="UXR103" s="450"/>
      <c r="UXS103" s="450"/>
      <c r="UXT103" s="450"/>
      <c r="UXU103" s="450"/>
      <c r="UXV103" s="450"/>
      <c r="UXW103" s="450"/>
      <c r="UXX103" s="450"/>
      <c r="UXY103" s="450"/>
      <c r="UXZ103" s="450"/>
      <c r="UYA103" s="450"/>
      <c r="UYB103" s="450"/>
      <c r="UYC103" s="450"/>
      <c r="UYD103" s="450"/>
      <c r="UYE103" s="450"/>
      <c r="UYF103" s="450"/>
      <c r="UYG103" s="450"/>
      <c r="UYH103" s="450"/>
      <c r="UYI103" s="450"/>
      <c r="UYJ103" s="450"/>
      <c r="UYK103" s="450"/>
      <c r="UYL103" s="450"/>
      <c r="UYM103" s="450"/>
      <c r="UYN103" s="450"/>
      <c r="UYO103" s="450"/>
      <c r="UYP103" s="450"/>
      <c r="UYQ103" s="450"/>
      <c r="UYR103" s="450"/>
      <c r="UYS103" s="450"/>
      <c r="UYT103" s="450"/>
      <c r="UYU103" s="450"/>
      <c r="UYV103" s="450"/>
      <c r="UYW103" s="450"/>
      <c r="UYX103" s="450"/>
      <c r="UYY103" s="450"/>
      <c r="UYZ103" s="450"/>
      <c r="UZA103" s="450"/>
      <c r="UZB103" s="450"/>
      <c r="UZC103" s="450"/>
      <c r="UZD103" s="450"/>
      <c r="UZE103" s="450"/>
      <c r="UZF103" s="450"/>
      <c r="UZG103" s="450"/>
      <c r="UZH103" s="450"/>
      <c r="UZI103" s="450"/>
      <c r="UZJ103" s="450"/>
      <c r="UZK103" s="450"/>
      <c r="UZL103" s="450"/>
      <c r="UZM103" s="450"/>
      <c r="UZN103" s="450"/>
      <c r="UZO103" s="450"/>
      <c r="UZP103" s="450"/>
      <c r="UZQ103" s="450"/>
      <c r="UZR103" s="450"/>
      <c r="UZS103" s="450"/>
      <c r="UZT103" s="450"/>
      <c r="UZU103" s="450"/>
      <c r="UZV103" s="450"/>
      <c r="UZW103" s="450"/>
      <c r="UZX103" s="450"/>
      <c r="UZY103" s="450"/>
      <c r="UZZ103" s="450"/>
      <c r="VAA103" s="450"/>
      <c r="VAB103" s="450"/>
      <c r="VAC103" s="450"/>
      <c r="VAD103" s="450"/>
      <c r="VAE103" s="450"/>
      <c r="VAF103" s="450"/>
      <c r="VAG103" s="450"/>
      <c r="VAH103" s="450"/>
      <c r="VAI103" s="450"/>
      <c r="VAJ103" s="450"/>
      <c r="VAK103" s="450"/>
      <c r="VAL103" s="450"/>
      <c r="VAM103" s="450"/>
      <c r="VAN103" s="450"/>
      <c r="VAO103" s="450"/>
      <c r="VAP103" s="450"/>
      <c r="VAQ103" s="450"/>
      <c r="VAR103" s="450"/>
      <c r="VAS103" s="450"/>
      <c r="VAT103" s="450"/>
      <c r="VAU103" s="450"/>
      <c r="VAV103" s="450"/>
      <c r="VAW103" s="450"/>
      <c r="VAX103" s="450"/>
      <c r="VAY103" s="450"/>
      <c r="VAZ103" s="450"/>
      <c r="VBA103" s="450"/>
      <c r="VBB103" s="450"/>
      <c r="VBC103" s="450"/>
      <c r="VBD103" s="450"/>
      <c r="VBE103" s="450"/>
      <c r="VBF103" s="450"/>
      <c r="VBG103" s="450"/>
      <c r="VBH103" s="450"/>
      <c r="VBI103" s="450"/>
      <c r="VBJ103" s="450"/>
      <c r="VBK103" s="450"/>
      <c r="VBL103" s="450"/>
      <c r="VBM103" s="450"/>
      <c r="VBN103" s="450"/>
      <c r="VBO103" s="450"/>
      <c r="VBP103" s="450"/>
      <c r="VBQ103" s="450"/>
      <c r="VBR103" s="450"/>
      <c r="VBS103" s="450"/>
      <c r="VBT103" s="450"/>
      <c r="VBU103" s="450"/>
      <c r="VBV103" s="450"/>
      <c r="VBW103" s="450"/>
      <c r="VBX103" s="450"/>
      <c r="VBY103" s="450"/>
      <c r="VBZ103" s="450"/>
      <c r="VCA103" s="450"/>
      <c r="VCB103" s="450"/>
      <c r="VCC103" s="450"/>
      <c r="VCD103" s="450"/>
      <c r="VCE103" s="450"/>
      <c r="VCF103" s="450"/>
      <c r="VCG103" s="450"/>
      <c r="VCH103" s="450"/>
      <c r="VCI103" s="450"/>
      <c r="VCJ103" s="450"/>
      <c r="VCK103" s="450"/>
      <c r="VCL103" s="450"/>
      <c r="VCM103" s="450"/>
      <c r="VCN103" s="450"/>
      <c r="VCO103" s="450"/>
      <c r="VCP103" s="450"/>
      <c r="VCQ103" s="450"/>
      <c r="VCR103" s="450"/>
      <c r="VCS103" s="450"/>
      <c r="VCT103" s="450"/>
      <c r="VCU103" s="450"/>
      <c r="VCV103" s="450"/>
      <c r="VCW103" s="450"/>
      <c r="VCX103" s="450"/>
      <c r="VCY103" s="450"/>
      <c r="VCZ103" s="450"/>
      <c r="VDA103" s="450"/>
      <c r="VDB103" s="450"/>
      <c r="VDC103" s="450"/>
      <c r="VDD103" s="450"/>
      <c r="VDE103" s="450"/>
      <c r="VDF103" s="450"/>
      <c r="VDG103" s="450"/>
      <c r="VDH103" s="450"/>
      <c r="VDI103" s="450"/>
      <c r="VDJ103" s="450"/>
      <c r="VDK103" s="450"/>
      <c r="VDL103" s="450"/>
      <c r="VDM103" s="450"/>
      <c r="VDN103" s="450"/>
      <c r="VDO103" s="450"/>
      <c r="VDP103" s="450"/>
      <c r="VDQ103" s="450"/>
      <c r="VDR103" s="450"/>
      <c r="VDS103" s="450"/>
      <c r="VDT103" s="450"/>
      <c r="VDU103" s="450"/>
      <c r="VDV103" s="450"/>
      <c r="VDW103" s="450"/>
      <c r="VDX103" s="450"/>
      <c r="VDY103" s="450"/>
      <c r="VDZ103" s="450"/>
      <c r="VEA103" s="450"/>
      <c r="VEB103" s="450"/>
      <c r="VEC103" s="450"/>
      <c r="VED103" s="450"/>
      <c r="VEE103" s="450"/>
      <c r="VEF103" s="450"/>
      <c r="VEG103" s="450"/>
      <c r="VEH103" s="450"/>
      <c r="VEI103" s="450"/>
      <c r="VEJ103" s="450"/>
      <c r="VEK103" s="450"/>
      <c r="VEL103" s="450"/>
      <c r="VEM103" s="450"/>
      <c r="VEN103" s="450"/>
      <c r="VEO103" s="450"/>
      <c r="VEP103" s="450"/>
      <c r="VEQ103" s="450"/>
      <c r="VER103" s="450"/>
      <c r="VES103" s="450"/>
      <c r="VET103" s="450"/>
      <c r="VEU103" s="450"/>
      <c r="VEV103" s="450"/>
      <c r="VEW103" s="450"/>
      <c r="VEX103" s="450"/>
      <c r="VEY103" s="450"/>
      <c r="VEZ103" s="450"/>
      <c r="VFA103" s="450"/>
      <c r="VFB103" s="450"/>
      <c r="VFC103" s="450"/>
      <c r="VFD103" s="450"/>
      <c r="VFE103" s="450"/>
      <c r="VFF103" s="450"/>
      <c r="VFG103" s="450"/>
      <c r="VFH103" s="450"/>
      <c r="VFI103" s="450"/>
      <c r="VFJ103" s="450"/>
      <c r="VFK103" s="450"/>
      <c r="VFL103" s="450"/>
      <c r="VFM103" s="450"/>
      <c r="VFN103" s="450"/>
      <c r="VFO103" s="450"/>
      <c r="VFP103" s="450"/>
      <c r="VFQ103" s="450"/>
      <c r="VFR103" s="450"/>
      <c r="VFS103" s="450"/>
      <c r="VFT103" s="450"/>
      <c r="VFU103" s="450"/>
      <c r="VFV103" s="450"/>
      <c r="VFW103" s="450"/>
      <c r="VFX103" s="450"/>
      <c r="VFY103" s="450"/>
      <c r="VFZ103" s="450"/>
      <c r="VGA103" s="450"/>
      <c r="VGB103" s="450"/>
      <c r="VGC103" s="450"/>
      <c r="VGD103" s="450"/>
      <c r="VGE103" s="450"/>
      <c r="VGF103" s="450"/>
      <c r="VGG103" s="450"/>
      <c r="VGH103" s="450"/>
      <c r="VGI103" s="450"/>
      <c r="VGJ103" s="450"/>
      <c r="VGK103" s="450"/>
      <c r="VGL103" s="450"/>
      <c r="VGM103" s="450"/>
      <c r="VGN103" s="450"/>
      <c r="VGO103" s="450"/>
      <c r="VGP103" s="450"/>
      <c r="VGQ103" s="450"/>
      <c r="VGR103" s="450"/>
      <c r="VGS103" s="450"/>
      <c r="VGT103" s="450"/>
      <c r="VGU103" s="450"/>
      <c r="VGV103" s="450"/>
      <c r="VGW103" s="450"/>
      <c r="VGX103" s="450"/>
      <c r="VGY103" s="450"/>
      <c r="VGZ103" s="450"/>
      <c r="VHA103" s="450"/>
      <c r="VHB103" s="450"/>
      <c r="VHC103" s="450"/>
      <c r="VHD103" s="450"/>
      <c r="VHE103" s="450"/>
      <c r="VHF103" s="450"/>
      <c r="VHG103" s="450"/>
      <c r="VHH103" s="450"/>
      <c r="VHI103" s="450"/>
      <c r="VHJ103" s="450"/>
      <c r="VHK103" s="450"/>
      <c r="VHL103" s="450"/>
      <c r="VHM103" s="450"/>
      <c r="VHN103" s="450"/>
      <c r="VHO103" s="450"/>
      <c r="VHP103" s="450"/>
      <c r="VHQ103" s="450"/>
      <c r="VHR103" s="450"/>
      <c r="VHS103" s="450"/>
      <c r="VHT103" s="450"/>
      <c r="VHU103" s="450"/>
      <c r="VHV103" s="450"/>
      <c r="VHW103" s="450"/>
      <c r="VHX103" s="450"/>
      <c r="VHY103" s="450"/>
      <c r="VHZ103" s="450"/>
      <c r="VIA103" s="450"/>
      <c r="VIB103" s="450"/>
      <c r="VIC103" s="450"/>
      <c r="VID103" s="450"/>
      <c r="VIE103" s="450"/>
      <c r="VIF103" s="450"/>
      <c r="VIG103" s="450"/>
      <c r="VIH103" s="450"/>
      <c r="VII103" s="450"/>
      <c r="VIJ103" s="450"/>
      <c r="VIK103" s="450"/>
      <c r="VIL103" s="450"/>
      <c r="VIM103" s="450"/>
      <c r="VIN103" s="450"/>
      <c r="VIO103" s="450"/>
      <c r="VIP103" s="450"/>
      <c r="VIQ103" s="450"/>
      <c r="VIR103" s="450"/>
      <c r="VIS103" s="450"/>
      <c r="VIT103" s="450"/>
      <c r="VIU103" s="450"/>
      <c r="VIV103" s="450"/>
      <c r="VIW103" s="450"/>
      <c r="VIX103" s="450"/>
      <c r="VIY103" s="450"/>
      <c r="VIZ103" s="450"/>
      <c r="VJA103" s="450"/>
      <c r="VJB103" s="450"/>
      <c r="VJC103" s="450"/>
      <c r="VJD103" s="450"/>
      <c r="VJE103" s="450"/>
      <c r="VJF103" s="450"/>
      <c r="VJG103" s="450"/>
      <c r="VJH103" s="450"/>
      <c r="VJI103" s="450"/>
      <c r="VJJ103" s="450"/>
      <c r="VJK103" s="450"/>
      <c r="VJL103" s="450"/>
      <c r="VJM103" s="450"/>
      <c r="VJN103" s="450"/>
      <c r="VJO103" s="450"/>
      <c r="VJP103" s="450"/>
      <c r="VJQ103" s="450"/>
      <c r="VJR103" s="450"/>
      <c r="VJS103" s="450"/>
      <c r="VJT103" s="450"/>
      <c r="VJU103" s="450"/>
      <c r="VJV103" s="450"/>
      <c r="VJW103" s="450"/>
      <c r="VJX103" s="450"/>
      <c r="VJY103" s="450"/>
      <c r="VJZ103" s="450"/>
      <c r="VKA103" s="450"/>
      <c r="VKB103" s="450"/>
      <c r="VKC103" s="450"/>
      <c r="VKD103" s="450"/>
      <c r="VKE103" s="450"/>
      <c r="VKF103" s="450"/>
      <c r="VKG103" s="450"/>
      <c r="VKH103" s="450"/>
      <c r="VKI103" s="450"/>
      <c r="VKJ103" s="450"/>
      <c r="VKK103" s="450"/>
      <c r="VKL103" s="450"/>
      <c r="VKM103" s="450"/>
      <c r="VKN103" s="450"/>
      <c r="VKO103" s="450"/>
      <c r="VKP103" s="450"/>
      <c r="VKQ103" s="450"/>
      <c r="VKR103" s="450"/>
      <c r="VKS103" s="450"/>
      <c r="VKT103" s="450"/>
      <c r="VKU103" s="450"/>
      <c r="VKV103" s="450"/>
      <c r="VKW103" s="450"/>
      <c r="VKX103" s="450"/>
      <c r="VKY103" s="450"/>
      <c r="VKZ103" s="450"/>
      <c r="VLA103" s="450"/>
      <c r="VLB103" s="450"/>
      <c r="VLC103" s="450"/>
      <c r="VLD103" s="450"/>
      <c r="VLE103" s="450"/>
      <c r="VLF103" s="450"/>
      <c r="VLG103" s="450"/>
      <c r="VLH103" s="450"/>
      <c r="VLI103" s="450"/>
      <c r="VLJ103" s="450"/>
      <c r="VLK103" s="450"/>
      <c r="VLL103" s="450"/>
      <c r="VLM103" s="450"/>
      <c r="VLN103" s="450"/>
      <c r="VLO103" s="450"/>
      <c r="VLP103" s="450"/>
      <c r="VLQ103" s="450"/>
      <c r="VLR103" s="450"/>
      <c r="VLS103" s="450"/>
      <c r="VLT103" s="450"/>
      <c r="VLU103" s="450"/>
      <c r="VLV103" s="450"/>
      <c r="VLW103" s="450"/>
      <c r="VLX103" s="450"/>
      <c r="VLY103" s="450"/>
      <c r="VLZ103" s="450"/>
      <c r="VMA103" s="450"/>
      <c r="VMB103" s="450"/>
      <c r="VMC103" s="450"/>
      <c r="VMD103" s="450"/>
      <c r="VME103" s="450"/>
      <c r="VMF103" s="450"/>
      <c r="VMG103" s="450"/>
      <c r="VMH103" s="450"/>
      <c r="VMI103" s="450"/>
      <c r="VMJ103" s="450"/>
      <c r="VMK103" s="450"/>
      <c r="VML103" s="450"/>
      <c r="VMM103" s="450"/>
      <c r="VMN103" s="450"/>
      <c r="VMO103" s="450"/>
      <c r="VMP103" s="450"/>
      <c r="VMQ103" s="450"/>
      <c r="VMR103" s="450"/>
      <c r="VMS103" s="450"/>
      <c r="VMT103" s="450"/>
      <c r="VMU103" s="450"/>
      <c r="VMV103" s="450"/>
      <c r="VMW103" s="450"/>
      <c r="VMX103" s="450"/>
      <c r="VMY103" s="450"/>
      <c r="VMZ103" s="450"/>
      <c r="VNA103" s="450"/>
      <c r="VNB103" s="450"/>
      <c r="VNC103" s="450"/>
      <c r="VND103" s="450"/>
      <c r="VNE103" s="450"/>
      <c r="VNF103" s="450"/>
      <c r="VNG103" s="450"/>
      <c r="VNH103" s="450"/>
      <c r="VNI103" s="450"/>
      <c r="VNJ103" s="450"/>
      <c r="VNK103" s="450"/>
      <c r="VNL103" s="450"/>
      <c r="VNM103" s="450"/>
      <c r="VNN103" s="450"/>
      <c r="VNO103" s="450"/>
      <c r="VNP103" s="450"/>
      <c r="VNQ103" s="450"/>
      <c r="VNR103" s="450"/>
      <c r="VNS103" s="450"/>
      <c r="VNT103" s="450"/>
      <c r="VNU103" s="450"/>
      <c r="VNV103" s="450"/>
      <c r="VNW103" s="450"/>
      <c r="VNX103" s="450"/>
      <c r="VNY103" s="450"/>
      <c r="VNZ103" s="450"/>
      <c r="VOA103" s="450"/>
      <c r="VOB103" s="450"/>
      <c r="VOC103" s="450"/>
      <c r="VOD103" s="450"/>
      <c r="VOE103" s="450"/>
      <c r="VOF103" s="450"/>
      <c r="VOG103" s="450"/>
      <c r="VOH103" s="450"/>
      <c r="VOI103" s="450"/>
      <c r="VOJ103" s="450"/>
      <c r="VOK103" s="450"/>
      <c r="VOL103" s="450"/>
      <c r="VOM103" s="450"/>
      <c r="VON103" s="450"/>
      <c r="VOO103" s="450"/>
      <c r="VOP103" s="450"/>
      <c r="VOQ103" s="450"/>
      <c r="VOR103" s="450"/>
      <c r="VOS103" s="450"/>
      <c r="VOT103" s="450"/>
      <c r="VOU103" s="450"/>
      <c r="VOV103" s="450"/>
      <c r="VOW103" s="450"/>
      <c r="VOX103" s="450"/>
      <c r="VOY103" s="450"/>
      <c r="VOZ103" s="450"/>
      <c r="VPA103" s="450"/>
      <c r="VPB103" s="450"/>
      <c r="VPC103" s="450"/>
      <c r="VPD103" s="450"/>
      <c r="VPE103" s="450"/>
      <c r="VPF103" s="450"/>
      <c r="VPG103" s="450"/>
      <c r="VPH103" s="450"/>
      <c r="VPI103" s="450"/>
      <c r="VPJ103" s="450"/>
      <c r="VPK103" s="450"/>
      <c r="VPL103" s="450"/>
      <c r="VPM103" s="450"/>
      <c r="VPN103" s="450"/>
      <c r="VPO103" s="450"/>
      <c r="VPP103" s="450"/>
      <c r="VPQ103" s="450"/>
      <c r="VPR103" s="450"/>
      <c r="VPS103" s="450"/>
      <c r="VPT103" s="450"/>
      <c r="VPU103" s="450"/>
      <c r="VPV103" s="450"/>
      <c r="VPW103" s="450"/>
      <c r="VPX103" s="450"/>
      <c r="VPY103" s="450"/>
      <c r="VPZ103" s="450"/>
      <c r="VQA103" s="450"/>
      <c r="VQB103" s="450"/>
      <c r="VQC103" s="450"/>
      <c r="VQD103" s="450"/>
      <c r="VQE103" s="450"/>
      <c r="VQF103" s="450"/>
      <c r="VQG103" s="450"/>
      <c r="VQH103" s="450"/>
      <c r="VQI103" s="450"/>
      <c r="VQJ103" s="450"/>
      <c r="VQK103" s="450"/>
      <c r="VQL103" s="450"/>
      <c r="VQM103" s="450"/>
      <c r="VQN103" s="450"/>
      <c r="VQO103" s="450"/>
      <c r="VQP103" s="450"/>
      <c r="VQQ103" s="450"/>
      <c r="VQR103" s="450"/>
      <c r="VQS103" s="450"/>
      <c r="VQT103" s="450"/>
      <c r="VQU103" s="450"/>
      <c r="VQV103" s="450"/>
      <c r="VQW103" s="450"/>
      <c r="VQX103" s="450"/>
      <c r="VQY103" s="450"/>
      <c r="VQZ103" s="450"/>
      <c r="VRA103" s="450"/>
      <c r="VRB103" s="450"/>
      <c r="VRC103" s="450"/>
      <c r="VRD103" s="450"/>
      <c r="VRE103" s="450"/>
      <c r="VRF103" s="450"/>
      <c r="VRG103" s="450"/>
      <c r="VRH103" s="450"/>
      <c r="VRI103" s="450"/>
      <c r="VRJ103" s="450"/>
      <c r="VRK103" s="450"/>
      <c r="VRL103" s="450"/>
      <c r="VRM103" s="450"/>
      <c r="VRN103" s="450"/>
      <c r="VRO103" s="450"/>
      <c r="VRP103" s="450"/>
      <c r="VRQ103" s="450"/>
      <c r="VRR103" s="450"/>
      <c r="VRS103" s="450"/>
      <c r="VRT103" s="450"/>
      <c r="VRU103" s="450"/>
      <c r="VRV103" s="450"/>
      <c r="VRW103" s="450"/>
      <c r="VRX103" s="450"/>
      <c r="VRY103" s="450"/>
      <c r="VRZ103" s="450"/>
      <c r="VSA103" s="450"/>
      <c r="VSB103" s="450"/>
      <c r="VSC103" s="450"/>
      <c r="VSD103" s="450"/>
      <c r="VSE103" s="450"/>
      <c r="VSF103" s="450"/>
      <c r="VSG103" s="450"/>
      <c r="VSH103" s="450"/>
      <c r="VSI103" s="450"/>
      <c r="VSJ103" s="450"/>
      <c r="VSK103" s="450"/>
      <c r="VSL103" s="450"/>
      <c r="VSM103" s="450"/>
      <c r="VSN103" s="450"/>
      <c r="VSO103" s="450"/>
      <c r="VSP103" s="450"/>
      <c r="VSQ103" s="450"/>
      <c r="VSR103" s="450"/>
      <c r="VSS103" s="450"/>
      <c r="VST103" s="450"/>
      <c r="VSU103" s="450"/>
      <c r="VSV103" s="450"/>
      <c r="VSW103" s="450"/>
      <c r="VSX103" s="450"/>
      <c r="VSY103" s="450"/>
      <c r="VSZ103" s="450"/>
      <c r="VTA103" s="450"/>
      <c r="VTB103" s="450"/>
      <c r="VTC103" s="450"/>
      <c r="VTD103" s="450"/>
      <c r="VTE103" s="450"/>
      <c r="VTF103" s="450"/>
      <c r="VTG103" s="450"/>
      <c r="VTH103" s="450"/>
      <c r="VTI103" s="450"/>
      <c r="VTJ103" s="450"/>
      <c r="VTK103" s="450"/>
      <c r="VTL103" s="450"/>
      <c r="VTM103" s="450"/>
      <c r="VTN103" s="450"/>
      <c r="VTO103" s="450"/>
      <c r="VTP103" s="450"/>
      <c r="VTQ103" s="450"/>
      <c r="VTR103" s="450"/>
      <c r="VTS103" s="450"/>
      <c r="VTT103" s="450"/>
      <c r="VTU103" s="450"/>
      <c r="VTV103" s="450"/>
      <c r="VTW103" s="450"/>
      <c r="VTX103" s="450"/>
      <c r="VTY103" s="450"/>
      <c r="VTZ103" s="450"/>
      <c r="VUA103" s="450"/>
      <c r="VUB103" s="450"/>
      <c r="VUC103" s="450"/>
      <c r="VUD103" s="450"/>
      <c r="VUE103" s="450"/>
      <c r="VUF103" s="450"/>
      <c r="VUG103" s="450"/>
      <c r="VUH103" s="450"/>
      <c r="VUI103" s="450"/>
      <c r="VUJ103" s="450"/>
      <c r="VUK103" s="450"/>
      <c r="VUL103" s="450"/>
      <c r="VUM103" s="450"/>
      <c r="VUN103" s="450"/>
      <c r="VUO103" s="450"/>
      <c r="VUP103" s="450"/>
      <c r="VUQ103" s="450"/>
      <c r="VUR103" s="450"/>
      <c r="VUS103" s="450"/>
      <c r="VUT103" s="450"/>
      <c r="VUU103" s="450"/>
      <c r="VUV103" s="450"/>
      <c r="VUW103" s="450"/>
      <c r="VUX103" s="450"/>
      <c r="VUY103" s="450"/>
      <c r="VUZ103" s="450"/>
      <c r="VVA103" s="450"/>
      <c r="VVB103" s="450"/>
      <c r="VVC103" s="450"/>
      <c r="VVD103" s="450"/>
      <c r="VVE103" s="450"/>
      <c r="VVF103" s="450"/>
      <c r="VVG103" s="450"/>
      <c r="VVH103" s="450"/>
      <c r="VVI103" s="450"/>
      <c r="VVJ103" s="450"/>
      <c r="VVK103" s="450"/>
      <c r="VVL103" s="450"/>
      <c r="VVM103" s="450"/>
      <c r="VVN103" s="450"/>
      <c r="VVO103" s="450"/>
      <c r="VVP103" s="450"/>
      <c r="VVQ103" s="450"/>
      <c r="VVR103" s="450"/>
      <c r="VVS103" s="450"/>
      <c r="VVT103" s="450"/>
      <c r="VVU103" s="450"/>
      <c r="VVV103" s="450"/>
      <c r="VVW103" s="450"/>
      <c r="VVX103" s="450"/>
      <c r="VVY103" s="450"/>
      <c r="VVZ103" s="450"/>
      <c r="VWA103" s="450"/>
      <c r="VWB103" s="450"/>
      <c r="VWC103" s="450"/>
      <c r="VWD103" s="450"/>
      <c r="VWE103" s="450"/>
      <c r="VWF103" s="450"/>
      <c r="VWG103" s="450"/>
      <c r="VWH103" s="450"/>
      <c r="VWI103" s="450"/>
      <c r="VWJ103" s="450"/>
      <c r="VWK103" s="450"/>
      <c r="VWL103" s="450"/>
      <c r="VWM103" s="450"/>
      <c r="VWN103" s="450"/>
      <c r="VWO103" s="450"/>
      <c r="VWP103" s="450"/>
      <c r="VWQ103" s="450"/>
      <c r="VWR103" s="450"/>
      <c r="VWS103" s="450"/>
      <c r="VWT103" s="450"/>
      <c r="VWU103" s="450"/>
      <c r="VWV103" s="450"/>
      <c r="VWW103" s="450"/>
      <c r="VWX103" s="450"/>
      <c r="VWY103" s="450"/>
      <c r="VWZ103" s="450"/>
      <c r="VXA103" s="450"/>
      <c r="VXB103" s="450"/>
      <c r="VXC103" s="450"/>
      <c r="VXD103" s="450"/>
      <c r="VXE103" s="450"/>
      <c r="VXF103" s="450"/>
      <c r="VXG103" s="450"/>
      <c r="VXH103" s="450"/>
      <c r="VXI103" s="450"/>
      <c r="VXJ103" s="450"/>
      <c r="VXK103" s="450"/>
      <c r="VXL103" s="450"/>
      <c r="VXM103" s="450"/>
      <c r="VXN103" s="450"/>
      <c r="VXO103" s="450"/>
      <c r="VXP103" s="450"/>
      <c r="VXQ103" s="450"/>
      <c r="VXR103" s="450"/>
      <c r="VXS103" s="450"/>
      <c r="VXT103" s="450"/>
      <c r="VXU103" s="450"/>
      <c r="VXV103" s="450"/>
      <c r="VXW103" s="450"/>
      <c r="VXX103" s="450"/>
      <c r="VXY103" s="450"/>
      <c r="VXZ103" s="450"/>
      <c r="VYA103" s="450"/>
      <c r="VYB103" s="450"/>
      <c r="VYC103" s="450"/>
      <c r="VYD103" s="450"/>
      <c r="VYE103" s="450"/>
      <c r="VYF103" s="450"/>
      <c r="VYG103" s="450"/>
      <c r="VYH103" s="450"/>
      <c r="VYI103" s="450"/>
      <c r="VYJ103" s="450"/>
      <c r="VYK103" s="450"/>
      <c r="VYL103" s="450"/>
      <c r="VYM103" s="450"/>
      <c r="VYN103" s="450"/>
      <c r="VYO103" s="450"/>
      <c r="VYP103" s="450"/>
      <c r="VYQ103" s="450"/>
      <c r="VYR103" s="450"/>
      <c r="VYS103" s="450"/>
      <c r="VYT103" s="450"/>
      <c r="VYU103" s="450"/>
      <c r="VYV103" s="450"/>
      <c r="VYW103" s="450"/>
      <c r="VYX103" s="450"/>
      <c r="VYY103" s="450"/>
      <c r="VYZ103" s="450"/>
      <c r="VZA103" s="450"/>
      <c r="VZB103" s="450"/>
      <c r="VZC103" s="450"/>
      <c r="VZD103" s="450"/>
      <c r="VZE103" s="450"/>
      <c r="VZF103" s="450"/>
      <c r="VZG103" s="450"/>
      <c r="VZH103" s="450"/>
      <c r="VZI103" s="450"/>
      <c r="VZJ103" s="450"/>
      <c r="VZK103" s="450"/>
      <c r="VZL103" s="450"/>
      <c r="VZM103" s="450"/>
      <c r="VZN103" s="450"/>
      <c r="VZO103" s="450"/>
      <c r="VZP103" s="450"/>
      <c r="VZQ103" s="450"/>
      <c r="VZR103" s="450"/>
      <c r="VZS103" s="450"/>
      <c r="VZT103" s="450"/>
      <c r="VZU103" s="450"/>
      <c r="VZV103" s="450"/>
      <c r="VZW103" s="450"/>
      <c r="VZX103" s="450"/>
      <c r="VZY103" s="450"/>
      <c r="VZZ103" s="450"/>
      <c r="WAA103" s="450"/>
      <c r="WAB103" s="450"/>
      <c r="WAC103" s="450"/>
      <c r="WAD103" s="450"/>
      <c r="WAE103" s="450"/>
      <c r="WAF103" s="450"/>
      <c r="WAG103" s="450"/>
      <c r="WAH103" s="450"/>
      <c r="WAI103" s="450"/>
      <c r="WAJ103" s="450"/>
      <c r="WAK103" s="450"/>
      <c r="WAL103" s="450"/>
      <c r="WAM103" s="450"/>
      <c r="WAN103" s="450"/>
      <c r="WAO103" s="450"/>
      <c r="WAP103" s="450"/>
      <c r="WAQ103" s="450"/>
      <c r="WAR103" s="450"/>
      <c r="WAS103" s="450"/>
      <c r="WAT103" s="450"/>
      <c r="WAU103" s="450"/>
      <c r="WAV103" s="450"/>
      <c r="WAW103" s="450"/>
      <c r="WAX103" s="450"/>
      <c r="WAY103" s="450"/>
      <c r="WAZ103" s="450"/>
      <c r="WBA103" s="450"/>
      <c r="WBB103" s="450"/>
      <c r="WBC103" s="450"/>
      <c r="WBD103" s="450"/>
      <c r="WBE103" s="450"/>
      <c r="WBF103" s="450"/>
      <c r="WBG103" s="450"/>
      <c r="WBH103" s="450"/>
      <c r="WBI103" s="450"/>
      <c r="WBJ103" s="450"/>
      <c r="WBK103" s="450"/>
      <c r="WBL103" s="450"/>
      <c r="WBM103" s="450"/>
      <c r="WBN103" s="450"/>
      <c r="WBO103" s="450"/>
      <c r="WBP103" s="450"/>
      <c r="WBQ103" s="450"/>
      <c r="WBR103" s="450"/>
      <c r="WBS103" s="450"/>
      <c r="WBT103" s="450"/>
      <c r="WBU103" s="450"/>
      <c r="WBV103" s="450"/>
      <c r="WBW103" s="450"/>
      <c r="WBX103" s="450"/>
      <c r="WBY103" s="450"/>
      <c r="WBZ103" s="450"/>
      <c r="WCA103" s="450"/>
      <c r="WCB103" s="450"/>
      <c r="WCC103" s="450"/>
      <c r="WCD103" s="450"/>
      <c r="WCE103" s="450"/>
      <c r="WCF103" s="450"/>
      <c r="WCG103" s="450"/>
      <c r="WCH103" s="450"/>
      <c r="WCI103" s="450"/>
      <c r="WCJ103" s="450"/>
      <c r="WCK103" s="450"/>
      <c r="WCL103" s="450"/>
      <c r="WCM103" s="450"/>
      <c r="WCN103" s="450"/>
      <c r="WCO103" s="450"/>
      <c r="WCP103" s="450"/>
      <c r="WCQ103" s="450"/>
      <c r="WCR103" s="450"/>
      <c r="WCS103" s="450"/>
      <c r="WCT103" s="450"/>
      <c r="WCU103" s="450"/>
      <c r="WCV103" s="450"/>
      <c r="WCW103" s="450"/>
      <c r="WCX103" s="450"/>
      <c r="WCY103" s="450"/>
      <c r="WCZ103" s="450"/>
      <c r="WDA103" s="450"/>
      <c r="WDB103" s="450"/>
      <c r="WDC103" s="450"/>
      <c r="WDD103" s="450"/>
      <c r="WDE103" s="450"/>
      <c r="WDF103" s="450"/>
      <c r="WDG103" s="450"/>
      <c r="WDH103" s="450"/>
      <c r="WDI103" s="450"/>
      <c r="WDJ103" s="450"/>
      <c r="WDK103" s="450"/>
      <c r="WDL103" s="450"/>
      <c r="WDM103" s="450"/>
      <c r="WDN103" s="450"/>
      <c r="WDO103" s="450"/>
      <c r="WDP103" s="450"/>
      <c r="WDQ103" s="450"/>
      <c r="WDR103" s="450"/>
      <c r="WDS103" s="450"/>
      <c r="WDT103" s="450"/>
      <c r="WDU103" s="450"/>
      <c r="WDV103" s="450"/>
      <c r="WDW103" s="450"/>
      <c r="WDX103" s="450"/>
      <c r="WDY103" s="450"/>
      <c r="WDZ103" s="450"/>
      <c r="WEA103" s="450"/>
      <c r="WEB103" s="450"/>
      <c r="WEC103" s="450"/>
      <c r="WED103" s="450"/>
      <c r="WEE103" s="450"/>
      <c r="WEF103" s="450"/>
      <c r="WEG103" s="450"/>
      <c r="WEH103" s="450"/>
      <c r="WEI103" s="450"/>
      <c r="WEJ103" s="450"/>
      <c r="WEK103" s="450"/>
      <c r="WEL103" s="450"/>
      <c r="WEM103" s="450"/>
      <c r="WEN103" s="450"/>
      <c r="WEO103" s="450"/>
      <c r="WEP103" s="450"/>
      <c r="WEQ103" s="450"/>
      <c r="WER103" s="450"/>
      <c r="WES103" s="450"/>
      <c r="WET103" s="450"/>
      <c r="WEU103" s="450"/>
      <c r="WEV103" s="450"/>
      <c r="WEW103" s="450"/>
      <c r="WEX103" s="450"/>
      <c r="WEY103" s="450"/>
      <c r="WEZ103" s="450"/>
      <c r="WFA103" s="450"/>
      <c r="WFB103" s="450"/>
      <c r="WFC103" s="450"/>
      <c r="WFD103" s="450"/>
      <c r="WFE103" s="450"/>
      <c r="WFF103" s="450"/>
      <c r="WFG103" s="450"/>
      <c r="WFH103" s="450"/>
      <c r="WFI103" s="450"/>
      <c r="WFJ103" s="450"/>
      <c r="WFK103" s="450"/>
      <c r="WFL103" s="450"/>
      <c r="WFM103" s="450"/>
      <c r="WFN103" s="450"/>
      <c r="WFO103" s="450"/>
      <c r="WFP103" s="450"/>
      <c r="WFQ103" s="450"/>
      <c r="WFR103" s="450"/>
      <c r="WFS103" s="450"/>
      <c r="WFT103" s="450"/>
      <c r="WFU103" s="450"/>
      <c r="WFV103" s="450"/>
      <c r="WFW103" s="450"/>
      <c r="WFX103" s="450"/>
      <c r="WFY103" s="450"/>
      <c r="WFZ103" s="450"/>
      <c r="WGA103" s="450"/>
      <c r="WGB103" s="450"/>
      <c r="WGC103" s="450"/>
      <c r="WGD103" s="450"/>
      <c r="WGE103" s="450"/>
      <c r="WGF103" s="450"/>
      <c r="WGG103" s="450"/>
      <c r="WGH103" s="450"/>
      <c r="WGI103" s="450"/>
      <c r="WGJ103" s="450"/>
      <c r="WGK103" s="450"/>
      <c r="WGL103" s="450"/>
      <c r="WGM103" s="450"/>
      <c r="WGN103" s="450"/>
      <c r="WGO103" s="450"/>
      <c r="WGP103" s="450"/>
      <c r="WGQ103" s="450"/>
      <c r="WGR103" s="450"/>
      <c r="WGS103" s="450"/>
      <c r="WGT103" s="450"/>
      <c r="WGU103" s="450"/>
      <c r="WGV103" s="450"/>
      <c r="WGW103" s="450"/>
      <c r="WGX103" s="450"/>
      <c r="WGY103" s="450"/>
      <c r="WGZ103" s="450"/>
      <c r="WHA103" s="450"/>
      <c r="WHB103" s="450"/>
      <c r="WHC103" s="450"/>
      <c r="WHD103" s="450"/>
      <c r="WHE103" s="450"/>
      <c r="WHF103" s="450"/>
      <c r="WHG103" s="450"/>
      <c r="WHH103" s="450"/>
      <c r="WHI103" s="450"/>
      <c r="WHJ103" s="450"/>
      <c r="WHK103" s="450"/>
      <c r="WHL103" s="450"/>
      <c r="WHM103" s="450"/>
      <c r="WHN103" s="450"/>
      <c r="WHO103" s="450"/>
      <c r="WHP103" s="450"/>
      <c r="WHQ103" s="450"/>
      <c r="WHR103" s="450"/>
      <c r="WHS103" s="450"/>
      <c r="WHT103" s="450"/>
      <c r="WHU103" s="450"/>
      <c r="WHV103" s="450"/>
      <c r="WHW103" s="450"/>
      <c r="WHX103" s="450"/>
      <c r="WHY103" s="450"/>
      <c r="WHZ103" s="450"/>
      <c r="WIA103" s="450"/>
      <c r="WIB103" s="450"/>
      <c r="WIC103" s="450"/>
      <c r="WID103" s="450"/>
      <c r="WIE103" s="450"/>
      <c r="WIF103" s="450"/>
      <c r="WIG103" s="450"/>
      <c r="WIH103" s="450"/>
      <c r="WII103" s="450"/>
      <c r="WIJ103" s="450"/>
      <c r="WIK103" s="450"/>
      <c r="WIL103" s="450"/>
      <c r="WIM103" s="450"/>
      <c r="WIN103" s="450"/>
      <c r="WIO103" s="450"/>
      <c r="WIP103" s="450"/>
      <c r="WIQ103" s="450"/>
      <c r="WIR103" s="450"/>
      <c r="WIS103" s="450"/>
      <c r="WIT103" s="450"/>
      <c r="WIU103" s="450"/>
      <c r="WIV103" s="450"/>
      <c r="WIW103" s="450"/>
      <c r="WIX103" s="450"/>
      <c r="WIY103" s="450"/>
      <c r="WIZ103" s="450"/>
      <c r="WJA103" s="450"/>
      <c r="WJB103" s="450"/>
      <c r="WJC103" s="450"/>
      <c r="WJD103" s="450"/>
      <c r="WJE103" s="450"/>
      <c r="WJF103" s="450"/>
      <c r="WJG103" s="450"/>
      <c r="WJH103" s="450"/>
      <c r="WJI103" s="450"/>
      <c r="WJJ103" s="450"/>
      <c r="WJK103" s="450"/>
      <c r="WJL103" s="450"/>
      <c r="WJM103" s="450"/>
      <c r="WJN103" s="450"/>
      <c r="WJO103" s="450"/>
      <c r="WJP103" s="450"/>
      <c r="WJQ103" s="450"/>
      <c r="WJR103" s="450"/>
      <c r="WJS103" s="450"/>
      <c r="WJT103" s="450"/>
      <c r="WJU103" s="450"/>
      <c r="WJV103" s="450"/>
      <c r="WJW103" s="450"/>
      <c r="WJX103" s="450"/>
      <c r="WJY103" s="450"/>
      <c r="WJZ103" s="450"/>
      <c r="WKA103" s="450"/>
      <c r="WKB103" s="450"/>
      <c r="WKC103" s="450"/>
      <c r="WKD103" s="450"/>
      <c r="WKE103" s="450"/>
      <c r="WKF103" s="450"/>
      <c r="WKG103" s="450"/>
      <c r="WKH103" s="450"/>
      <c r="WKI103" s="450"/>
      <c r="WKJ103" s="450"/>
      <c r="WKK103" s="450"/>
      <c r="WKL103" s="450"/>
      <c r="WKM103" s="450"/>
      <c r="WKN103" s="450"/>
      <c r="WKO103" s="450"/>
      <c r="WKP103" s="450"/>
      <c r="WKQ103" s="450"/>
      <c r="WKR103" s="450"/>
      <c r="WKS103" s="450"/>
      <c r="WKT103" s="450"/>
      <c r="WKU103" s="450"/>
      <c r="WKV103" s="450"/>
      <c r="WKW103" s="450"/>
      <c r="WKX103" s="450"/>
      <c r="WKY103" s="450"/>
      <c r="WKZ103" s="450"/>
      <c r="WLA103" s="450"/>
      <c r="WLB103" s="450"/>
      <c r="WLC103" s="450"/>
      <c r="WLD103" s="450"/>
      <c r="WLE103" s="450"/>
      <c r="WLF103" s="450"/>
      <c r="WLG103" s="450"/>
      <c r="WLH103" s="450"/>
      <c r="WLI103" s="450"/>
      <c r="WLJ103" s="450"/>
      <c r="WLK103" s="450"/>
      <c r="WLL103" s="450"/>
      <c r="WLM103" s="450"/>
      <c r="WLN103" s="450"/>
      <c r="WLO103" s="450"/>
      <c r="WLP103" s="450"/>
      <c r="WLQ103" s="450"/>
      <c r="WLR103" s="450"/>
      <c r="WLS103" s="450"/>
      <c r="WLT103" s="450"/>
      <c r="WLU103" s="450"/>
      <c r="WLV103" s="450"/>
      <c r="WLW103" s="450"/>
      <c r="WLX103" s="450"/>
      <c r="WLY103" s="450"/>
      <c r="WLZ103" s="450"/>
      <c r="WMA103" s="450"/>
      <c r="WMB103" s="450"/>
      <c r="WMC103" s="450"/>
      <c r="WMD103" s="450"/>
      <c r="WME103" s="450"/>
      <c r="WMF103" s="450"/>
      <c r="WMG103" s="450"/>
      <c r="WMH103" s="450"/>
      <c r="WMI103" s="450"/>
      <c r="WMJ103" s="450"/>
      <c r="WMK103" s="450"/>
      <c r="WML103" s="450"/>
      <c r="WMM103" s="450"/>
      <c r="WMN103" s="450"/>
      <c r="WMO103" s="450"/>
      <c r="WMP103" s="450"/>
      <c r="WMQ103" s="450"/>
      <c r="WMR103" s="450"/>
      <c r="WMS103" s="450"/>
      <c r="WMT103" s="450"/>
      <c r="WMU103" s="450"/>
      <c r="WMV103" s="450"/>
      <c r="WMW103" s="450"/>
      <c r="WMX103" s="450"/>
      <c r="WMY103" s="450"/>
      <c r="WMZ103" s="450"/>
      <c r="WNA103" s="450"/>
      <c r="WNB103" s="450"/>
      <c r="WNC103" s="450"/>
      <c r="WND103" s="450"/>
      <c r="WNE103" s="450"/>
      <c r="WNF103" s="450"/>
      <c r="WNG103" s="450"/>
      <c r="WNH103" s="450"/>
      <c r="WNI103" s="450"/>
      <c r="WNJ103" s="450"/>
      <c r="WNK103" s="450"/>
      <c r="WNL103" s="450"/>
      <c r="WNM103" s="450"/>
      <c r="WNN103" s="450"/>
      <c r="WNO103" s="450"/>
      <c r="WNP103" s="450"/>
      <c r="WNQ103" s="450"/>
      <c r="WNR103" s="450"/>
      <c r="WNS103" s="450"/>
      <c r="WNT103" s="450"/>
      <c r="WNU103" s="450"/>
      <c r="WNV103" s="450"/>
      <c r="WNW103" s="450"/>
      <c r="WNX103" s="450"/>
      <c r="WNY103" s="450"/>
      <c r="WNZ103" s="450"/>
      <c r="WOA103" s="450"/>
      <c r="WOB103" s="450"/>
      <c r="WOC103" s="450"/>
      <c r="WOD103" s="450"/>
      <c r="WOE103" s="450"/>
      <c r="WOF103" s="450"/>
      <c r="WOG103" s="450"/>
      <c r="WOH103" s="450"/>
      <c r="WOI103" s="450"/>
      <c r="WOJ103" s="450"/>
      <c r="WOK103" s="450"/>
      <c r="WOL103" s="450"/>
      <c r="WOM103" s="450"/>
      <c r="WON103" s="450"/>
      <c r="WOO103" s="450"/>
      <c r="WOP103" s="450"/>
      <c r="WOQ103" s="450"/>
      <c r="WOR103" s="450"/>
      <c r="WOS103" s="450"/>
      <c r="WOT103" s="450"/>
      <c r="WOU103" s="450"/>
      <c r="WOV103" s="450"/>
      <c r="WOW103" s="450"/>
      <c r="WOX103" s="450"/>
      <c r="WOY103" s="450"/>
      <c r="WOZ103" s="450"/>
      <c r="WPA103" s="450"/>
      <c r="WPB103" s="450"/>
      <c r="WPC103" s="450"/>
      <c r="WPD103" s="450"/>
      <c r="WPE103" s="450"/>
      <c r="WPF103" s="450"/>
      <c r="WPG103" s="450"/>
      <c r="WPH103" s="450"/>
      <c r="WPI103" s="450"/>
      <c r="WPJ103" s="450"/>
      <c r="WPK103" s="450"/>
      <c r="WPL103" s="450"/>
      <c r="WPM103" s="450"/>
      <c r="WPN103" s="450"/>
      <c r="WPO103" s="450"/>
      <c r="WPP103" s="450"/>
      <c r="WPQ103" s="450"/>
      <c r="WPR103" s="450"/>
      <c r="WPS103" s="450"/>
      <c r="WPT103" s="450"/>
      <c r="WPU103" s="450"/>
      <c r="WPV103" s="450"/>
      <c r="WPW103" s="450"/>
      <c r="WPX103" s="450"/>
      <c r="WPY103" s="450"/>
      <c r="WPZ103" s="450"/>
      <c r="WQA103" s="450"/>
      <c r="WQB103" s="450"/>
      <c r="WQC103" s="450"/>
      <c r="WQD103" s="450"/>
      <c r="WQE103" s="450"/>
      <c r="WQF103" s="450"/>
      <c r="WQG103" s="450"/>
      <c r="WQH103" s="450"/>
      <c r="WQI103" s="450"/>
      <c r="WQJ103" s="450"/>
      <c r="WQK103" s="450"/>
      <c r="WQL103" s="450"/>
      <c r="WQM103" s="450"/>
      <c r="WQN103" s="450"/>
      <c r="WQO103" s="450"/>
      <c r="WQP103" s="450"/>
      <c r="WQQ103" s="450"/>
      <c r="WQR103" s="450"/>
      <c r="WQS103" s="450"/>
      <c r="WQT103" s="450"/>
      <c r="WQU103" s="450"/>
      <c r="WQV103" s="450"/>
      <c r="WQW103" s="450"/>
      <c r="WQX103" s="450"/>
      <c r="WQY103" s="450"/>
      <c r="WQZ103" s="450"/>
      <c r="WRA103" s="450"/>
      <c r="WRB103" s="450"/>
      <c r="WRC103" s="450"/>
      <c r="WRD103" s="450"/>
      <c r="WRE103" s="450"/>
      <c r="WRF103" s="450"/>
      <c r="WRG103" s="450"/>
      <c r="WRH103" s="450"/>
      <c r="WRI103" s="450"/>
      <c r="WRJ103" s="450"/>
      <c r="WRK103" s="450"/>
      <c r="WRL103" s="450"/>
      <c r="WRM103" s="450"/>
      <c r="WRN103" s="450"/>
      <c r="WRO103" s="450"/>
      <c r="WRP103" s="450"/>
      <c r="WRQ103" s="450"/>
      <c r="WRR103" s="450"/>
      <c r="WRS103" s="450"/>
      <c r="WRT103" s="450"/>
      <c r="WRU103" s="450"/>
      <c r="WRV103" s="450"/>
      <c r="WRW103" s="450"/>
      <c r="WRX103" s="450"/>
      <c r="WRY103" s="450"/>
      <c r="WRZ103" s="450"/>
      <c r="WSA103" s="450"/>
      <c r="WSB103" s="450"/>
      <c r="WSC103" s="450"/>
      <c r="WSD103" s="450"/>
      <c r="WSE103" s="450"/>
      <c r="WSF103" s="450"/>
      <c r="WSG103" s="450"/>
      <c r="WSH103" s="450"/>
      <c r="WSI103" s="450"/>
      <c r="WSJ103" s="450"/>
      <c r="WSK103" s="450"/>
      <c r="WSL103" s="450"/>
      <c r="WSM103" s="450"/>
      <c r="WSN103" s="450"/>
      <c r="WSO103" s="450"/>
      <c r="WSP103" s="450"/>
      <c r="WSQ103" s="450"/>
      <c r="WSR103" s="450"/>
      <c r="WSS103" s="450"/>
      <c r="WST103" s="450"/>
      <c r="WSU103" s="450"/>
      <c r="WSV103" s="450"/>
      <c r="WSW103" s="450"/>
      <c r="WSX103" s="450"/>
      <c r="WSY103" s="450"/>
      <c r="WSZ103" s="450"/>
      <c r="WTA103" s="450"/>
      <c r="WTB103" s="450"/>
      <c r="WTC103" s="450"/>
      <c r="WTD103" s="450"/>
      <c r="WTE103" s="450"/>
      <c r="WTF103" s="450"/>
      <c r="WTG103" s="450"/>
      <c r="WTH103" s="450"/>
      <c r="WTI103" s="450"/>
      <c r="WTJ103" s="450"/>
      <c r="WTK103" s="450"/>
      <c r="WTL103" s="450"/>
      <c r="WTM103" s="450"/>
      <c r="WTN103" s="450"/>
      <c r="WTO103" s="450"/>
      <c r="WTP103" s="450"/>
      <c r="WTQ103" s="450"/>
      <c r="WTR103" s="450"/>
      <c r="WTS103" s="450"/>
      <c r="WTT103" s="450"/>
      <c r="WTU103" s="450"/>
      <c r="WTV103" s="450"/>
      <c r="WTW103" s="450"/>
      <c r="WTX103" s="450"/>
      <c r="WTY103" s="450"/>
      <c r="WTZ103" s="450"/>
      <c r="WUA103" s="450"/>
      <c r="WUB103" s="450"/>
      <c r="WUC103" s="450"/>
      <c r="WUD103" s="450"/>
      <c r="WUE103" s="450"/>
      <c r="WUF103" s="450"/>
      <c r="WUG103" s="450"/>
      <c r="WUH103" s="450"/>
      <c r="WUI103" s="450"/>
      <c r="WUJ103" s="450"/>
      <c r="WUK103" s="450"/>
      <c r="WUL103" s="450"/>
      <c r="WUM103" s="450"/>
      <c r="WUN103" s="450"/>
      <c r="WUO103" s="450"/>
      <c r="WUP103" s="450"/>
      <c r="WUQ103" s="450"/>
      <c r="WUR103" s="450"/>
      <c r="WUS103" s="450"/>
      <c r="WUT103" s="450"/>
      <c r="WUU103" s="450"/>
      <c r="WUV103" s="450"/>
      <c r="WUW103" s="450"/>
      <c r="WUX103" s="450"/>
      <c r="WUY103" s="450"/>
      <c r="WUZ103" s="450"/>
      <c r="WVA103" s="450"/>
      <c r="WVB103" s="450"/>
      <c r="WVC103" s="450"/>
      <c r="WVD103" s="450"/>
      <c r="WVE103" s="450"/>
      <c r="WVF103" s="450"/>
      <c r="WVG103" s="450"/>
      <c r="WVH103" s="450"/>
      <c r="WVI103" s="450"/>
      <c r="WVJ103" s="450"/>
      <c r="WVK103" s="450"/>
      <c r="WVL103" s="450"/>
      <c r="WVM103" s="450"/>
      <c r="WVN103" s="450"/>
      <c r="WVO103" s="450"/>
      <c r="WVP103" s="450"/>
      <c r="WVQ103" s="450"/>
      <c r="WVR103" s="450"/>
      <c r="WVS103" s="450"/>
      <c r="WVT103" s="450"/>
      <c r="WVU103" s="450"/>
      <c r="WVV103" s="450"/>
      <c r="WVW103" s="450"/>
      <c r="WVX103" s="450"/>
      <c r="WVY103" s="450"/>
      <c r="WVZ103" s="450"/>
      <c r="WWA103" s="450"/>
      <c r="WWB103" s="450"/>
      <c r="WWC103" s="450"/>
      <c r="WWD103" s="450"/>
      <c r="WWE103" s="450"/>
      <c r="WWF103" s="450"/>
      <c r="WWG103" s="450"/>
      <c r="WWH103" s="450"/>
      <c r="WWI103" s="450"/>
      <c r="WWJ103" s="450"/>
      <c r="WWK103" s="450"/>
      <c r="WWL103" s="450"/>
      <c r="WWM103" s="450"/>
      <c r="WWN103" s="450"/>
      <c r="WWO103" s="450"/>
      <c r="WWP103" s="450"/>
      <c r="WWQ103" s="450"/>
      <c r="WWR103" s="450"/>
      <c r="WWS103" s="450"/>
      <c r="WWT103" s="450"/>
      <c r="WWU103" s="450"/>
      <c r="WWV103" s="450"/>
      <c r="WWW103" s="450"/>
      <c r="WWX103" s="450"/>
      <c r="WWY103" s="450"/>
      <c r="WWZ103" s="450"/>
      <c r="WXA103" s="450"/>
      <c r="WXB103" s="450"/>
      <c r="WXC103" s="450"/>
      <c r="WXD103" s="450"/>
      <c r="WXE103" s="450"/>
      <c r="WXF103" s="450"/>
      <c r="WXG103" s="450"/>
      <c r="WXH103" s="450"/>
      <c r="WXI103" s="450"/>
      <c r="WXJ103" s="450"/>
      <c r="WXK103" s="450"/>
      <c r="WXL103" s="450"/>
      <c r="WXM103" s="450"/>
      <c r="WXN103" s="450"/>
      <c r="WXO103" s="450"/>
      <c r="WXP103" s="450"/>
      <c r="WXQ103" s="450"/>
      <c r="WXR103" s="450"/>
      <c r="WXS103" s="450"/>
      <c r="WXT103" s="450"/>
      <c r="WXU103" s="450"/>
      <c r="WXV103" s="450"/>
      <c r="WXW103" s="450"/>
      <c r="WXX103" s="450"/>
      <c r="WXY103" s="450"/>
      <c r="WXZ103" s="450"/>
      <c r="WYA103" s="450"/>
      <c r="WYB103" s="450"/>
      <c r="WYC103" s="450"/>
      <c r="WYD103" s="450"/>
      <c r="WYE103" s="450"/>
      <c r="WYF103" s="450"/>
      <c r="WYG103" s="450"/>
      <c r="WYH103" s="450"/>
      <c r="WYI103" s="450"/>
      <c r="WYJ103" s="450"/>
      <c r="WYK103" s="450"/>
      <c r="WYL103" s="450"/>
      <c r="WYM103" s="450"/>
      <c r="WYN103" s="450"/>
      <c r="WYO103" s="450"/>
      <c r="WYP103" s="450"/>
      <c r="WYQ103" s="450"/>
      <c r="WYR103" s="450"/>
      <c r="WYS103" s="450"/>
      <c r="WYT103" s="450"/>
      <c r="WYU103" s="450"/>
      <c r="WYV103" s="450"/>
      <c r="WYW103" s="450"/>
      <c r="WYX103" s="450"/>
      <c r="WYY103" s="450"/>
      <c r="WYZ103" s="450"/>
      <c r="WZA103" s="450"/>
      <c r="WZB103" s="450"/>
      <c r="WZC103" s="450"/>
      <c r="WZD103" s="450"/>
      <c r="WZE103" s="450"/>
      <c r="WZF103" s="450"/>
      <c r="WZG103" s="450"/>
      <c r="WZH103" s="450"/>
      <c r="WZI103" s="450"/>
      <c r="WZJ103" s="450"/>
      <c r="WZK103" s="450"/>
      <c r="WZL103" s="450"/>
      <c r="WZM103" s="450"/>
      <c r="WZN103" s="450"/>
      <c r="WZO103" s="450"/>
      <c r="WZP103" s="450"/>
      <c r="WZQ103" s="450"/>
      <c r="WZR103" s="450"/>
      <c r="WZS103" s="450"/>
      <c r="WZT103" s="450"/>
      <c r="WZU103" s="450"/>
      <c r="WZV103" s="450"/>
      <c r="WZW103" s="450"/>
      <c r="WZX103" s="450"/>
      <c r="WZY103" s="450"/>
      <c r="WZZ103" s="450"/>
      <c r="XAA103" s="450"/>
      <c r="XAB103" s="450"/>
      <c r="XAC103" s="450"/>
      <c r="XAD103" s="450"/>
      <c r="XAE103" s="450"/>
      <c r="XAF103" s="450"/>
      <c r="XAG103" s="450"/>
      <c r="XAH103" s="450"/>
      <c r="XAI103" s="450"/>
      <c r="XAJ103" s="450"/>
      <c r="XAK103" s="450"/>
      <c r="XAL103" s="450"/>
      <c r="XAM103" s="450"/>
      <c r="XAN103" s="450"/>
      <c r="XAO103" s="450"/>
      <c r="XAP103" s="450"/>
      <c r="XAQ103" s="450"/>
      <c r="XAR103" s="450"/>
      <c r="XAS103" s="450"/>
      <c r="XAT103" s="450"/>
      <c r="XAU103" s="450"/>
      <c r="XAV103" s="450"/>
      <c r="XAW103" s="450"/>
      <c r="XAX103" s="450"/>
      <c r="XAY103" s="450"/>
      <c r="XAZ103" s="450"/>
      <c r="XBA103" s="450"/>
      <c r="XBB103" s="450"/>
      <c r="XBC103" s="450"/>
      <c r="XBD103" s="450"/>
      <c r="XBE103" s="450"/>
      <c r="XBF103" s="450"/>
      <c r="XBG103" s="450"/>
      <c r="XBH103" s="450"/>
      <c r="XBI103" s="450"/>
      <c r="XBJ103" s="450"/>
      <c r="XBK103" s="450"/>
      <c r="XBL103" s="450"/>
      <c r="XBM103" s="450"/>
      <c r="XBN103" s="450"/>
      <c r="XBO103" s="450"/>
      <c r="XBP103" s="450"/>
      <c r="XBQ103" s="450"/>
      <c r="XBR103" s="450"/>
      <c r="XBS103" s="450"/>
      <c r="XBT103" s="450"/>
      <c r="XBU103" s="450"/>
      <c r="XBV103" s="450"/>
      <c r="XBW103" s="450"/>
      <c r="XBX103" s="450"/>
      <c r="XBY103" s="450"/>
      <c r="XBZ103" s="450"/>
      <c r="XCA103" s="450"/>
      <c r="XCB103" s="450"/>
      <c r="XCC103" s="450"/>
      <c r="XCD103" s="450"/>
      <c r="XCE103" s="450"/>
      <c r="XCF103" s="450"/>
      <c r="XCG103" s="450"/>
      <c r="XCH103" s="450"/>
      <c r="XCI103" s="450"/>
      <c r="XCJ103" s="450"/>
      <c r="XCK103" s="450"/>
      <c r="XCL103" s="450"/>
      <c r="XCM103" s="450"/>
      <c r="XCN103" s="450"/>
      <c r="XCO103" s="450"/>
      <c r="XCP103" s="450"/>
      <c r="XCQ103" s="450"/>
      <c r="XCR103" s="450"/>
      <c r="XCS103" s="450"/>
      <c r="XCT103" s="450"/>
      <c r="XCU103" s="450"/>
      <c r="XCV103" s="450"/>
      <c r="XCW103" s="450"/>
      <c r="XCX103" s="450"/>
      <c r="XCY103" s="450"/>
      <c r="XCZ103" s="450"/>
      <c r="XDA103" s="450"/>
      <c r="XDB103" s="450"/>
      <c r="XDC103" s="450"/>
    </row>
    <row r="104" spans="1:16331" s="332" customFormat="1" ht="80.25" customHeight="1" x14ac:dyDescent="0.25">
      <c r="A104" s="262">
        <v>309</v>
      </c>
      <c r="B104" s="435" t="s">
        <v>223</v>
      </c>
      <c r="C104" s="313"/>
      <c r="D104" s="448"/>
      <c r="E104" s="313">
        <v>4</v>
      </c>
      <c r="F104" s="448" t="s">
        <v>102</v>
      </c>
      <c r="G104" s="343" t="s">
        <v>29</v>
      </c>
      <c r="H104" s="385" t="s">
        <v>22</v>
      </c>
      <c r="I104" s="313" t="s">
        <v>53</v>
      </c>
      <c r="J104" s="448" t="s">
        <v>49</v>
      </c>
      <c r="K104" s="313" t="s">
        <v>321</v>
      </c>
      <c r="L104" s="448" t="s">
        <v>59</v>
      </c>
      <c r="M104" s="452" t="s">
        <v>1229</v>
      </c>
      <c r="N104" s="448" t="s">
        <v>60</v>
      </c>
      <c r="O104" s="345" t="s">
        <v>26</v>
      </c>
      <c r="P104" s="259">
        <v>5</v>
      </c>
      <c r="Q104" s="259">
        <v>2</v>
      </c>
      <c r="R104" s="281">
        <v>2024003630083</v>
      </c>
      <c r="S104" s="325" t="s">
        <v>319</v>
      </c>
      <c r="T104" s="328"/>
      <c r="U104" s="328"/>
      <c r="V104" s="328"/>
      <c r="W104" s="328"/>
      <c r="X104" s="328"/>
      <c r="Y104" s="328"/>
      <c r="Z104" s="328"/>
      <c r="AA104" s="328"/>
      <c r="AB104" s="328"/>
      <c r="AC104" s="328"/>
      <c r="AD104" s="328"/>
      <c r="AE104" s="328"/>
      <c r="AF104" s="328"/>
      <c r="AG104" s="328"/>
      <c r="AH104" s="328"/>
      <c r="AI104" s="328"/>
      <c r="AJ104" s="328"/>
      <c r="AK104" s="328"/>
      <c r="AL104" s="404">
        <v>50000000</v>
      </c>
      <c r="AM104" s="404">
        <v>49183333</v>
      </c>
      <c r="AN104" s="404">
        <v>11500000</v>
      </c>
      <c r="AO104" s="328"/>
      <c r="AP104" s="328"/>
      <c r="AQ104" s="328"/>
      <c r="AR104" s="328"/>
      <c r="AS104" s="328"/>
      <c r="AT104" s="328"/>
      <c r="AU104" s="328">
        <f t="shared" si="3"/>
        <v>50000000</v>
      </c>
      <c r="AV104" s="328">
        <f t="shared" si="4"/>
        <v>49183333</v>
      </c>
      <c r="AW104" s="328">
        <f t="shared" si="5"/>
        <v>11500000</v>
      </c>
      <c r="AX104" s="385" t="s">
        <v>226</v>
      </c>
      <c r="AY104" s="331"/>
      <c r="AZ104" s="331"/>
      <c r="BA104" s="449"/>
      <c r="BB104" s="449"/>
      <c r="BC104" s="449"/>
      <c r="BD104" s="449"/>
      <c r="BE104" s="449"/>
      <c r="BF104" s="449"/>
      <c r="BG104" s="449"/>
      <c r="BH104" s="449"/>
      <c r="BI104" s="449"/>
      <c r="BJ104" s="449"/>
      <c r="BK104" s="449"/>
      <c r="BL104" s="449"/>
      <c r="BM104" s="449"/>
      <c r="BN104" s="449"/>
      <c r="BO104" s="449"/>
      <c r="BP104" s="449"/>
      <c r="BQ104" s="449"/>
      <c r="BR104" s="449"/>
      <c r="BS104" s="449"/>
      <c r="BT104" s="449"/>
      <c r="BU104" s="449"/>
      <c r="BV104" s="449"/>
      <c r="BW104" s="449"/>
      <c r="BX104" s="449"/>
      <c r="BY104" s="449"/>
      <c r="BZ104" s="449"/>
      <c r="CA104" s="449"/>
      <c r="CB104" s="449"/>
      <c r="CC104" s="449"/>
      <c r="CD104" s="449"/>
      <c r="CE104" s="449"/>
      <c r="CF104" s="449"/>
      <c r="CG104" s="449"/>
      <c r="CH104" s="449"/>
      <c r="CI104" s="449"/>
      <c r="CJ104" s="449"/>
      <c r="CK104" s="449"/>
      <c r="CL104" s="449"/>
      <c r="CM104" s="449"/>
      <c r="CN104" s="449"/>
      <c r="CO104" s="449"/>
      <c r="CP104" s="449"/>
      <c r="CQ104" s="449"/>
      <c r="CR104" s="449"/>
      <c r="CS104" s="449"/>
      <c r="CT104" s="449"/>
      <c r="CU104" s="449"/>
      <c r="CV104" s="449"/>
      <c r="CW104" s="449"/>
      <c r="CX104" s="449"/>
      <c r="CY104" s="449"/>
      <c r="CZ104" s="449"/>
      <c r="DA104" s="449"/>
      <c r="DB104" s="449"/>
      <c r="DC104" s="449"/>
      <c r="DD104" s="449"/>
      <c r="DE104" s="449"/>
      <c r="DF104" s="449"/>
      <c r="DG104" s="449"/>
      <c r="DH104" s="449"/>
      <c r="DI104" s="449"/>
      <c r="DJ104" s="449"/>
      <c r="DK104" s="449"/>
      <c r="DL104" s="449"/>
      <c r="DM104" s="449"/>
      <c r="DN104" s="449"/>
      <c r="DO104" s="449"/>
      <c r="DP104" s="449"/>
      <c r="DQ104" s="449"/>
      <c r="DR104" s="449"/>
      <c r="DS104" s="449"/>
      <c r="DT104" s="449"/>
      <c r="DU104" s="449"/>
      <c r="DV104" s="449"/>
      <c r="DW104" s="449"/>
      <c r="DX104" s="449"/>
      <c r="DY104" s="449"/>
      <c r="DZ104" s="450"/>
      <c r="EA104" s="450"/>
      <c r="EB104" s="450"/>
      <c r="EC104" s="450"/>
      <c r="ED104" s="450"/>
      <c r="EE104" s="450"/>
      <c r="EF104" s="450"/>
      <c r="EG104" s="450"/>
      <c r="EH104" s="450"/>
      <c r="EI104" s="450"/>
      <c r="EJ104" s="450"/>
      <c r="EK104" s="450"/>
      <c r="EL104" s="450"/>
      <c r="EM104" s="450"/>
      <c r="EN104" s="450"/>
      <c r="EO104" s="450"/>
      <c r="EP104" s="450"/>
      <c r="EQ104" s="450"/>
      <c r="ER104" s="450"/>
      <c r="ES104" s="450"/>
      <c r="ET104" s="450"/>
      <c r="EU104" s="450"/>
      <c r="EV104" s="450"/>
      <c r="EW104" s="450"/>
      <c r="EX104" s="450"/>
      <c r="EY104" s="450"/>
      <c r="EZ104" s="450"/>
      <c r="FA104" s="450"/>
      <c r="FB104" s="450"/>
      <c r="FC104" s="450"/>
      <c r="FD104" s="450"/>
      <c r="FE104" s="450"/>
      <c r="FF104" s="450"/>
      <c r="FG104" s="450"/>
      <c r="FH104" s="450"/>
      <c r="FI104" s="450"/>
      <c r="FJ104" s="450"/>
      <c r="FK104" s="450"/>
      <c r="FL104" s="450"/>
      <c r="FM104" s="450"/>
      <c r="FN104" s="450"/>
      <c r="FO104" s="450"/>
      <c r="FP104" s="450"/>
      <c r="FQ104" s="450"/>
      <c r="FR104" s="450"/>
      <c r="FS104" s="450"/>
      <c r="FT104" s="450"/>
      <c r="FU104" s="450"/>
      <c r="FV104" s="450"/>
      <c r="FW104" s="450"/>
      <c r="FX104" s="450"/>
      <c r="FY104" s="450"/>
      <c r="FZ104" s="450"/>
      <c r="GA104" s="450"/>
      <c r="GB104" s="450"/>
      <c r="GC104" s="450"/>
      <c r="GD104" s="450"/>
      <c r="GE104" s="450"/>
      <c r="GF104" s="450"/>
      <c r="GG104" s="450"/>
      <c r="GH104" s="450"/>
      <c r="GI104" s="450"/>
      <c r="GJ104" s="450"/>
      <c r="GK104" s="450"/>
      <c r="GL104" s="450"/>
      <c r="GM104" s="450"/>
      <c r="GN104" s="450"/>
      <c r="GO104" s="450"/>
      <c r="GP104" s="450"/>
      <c r="GQ104" s="450"/>
      <c r="GR104" s="450"/>
      <c r="GS104" s="450"/>
      <c r="GT104" s="450"/>
      <c r="GU104" s="450"/>
      <c r="GV104" s="450"/>
      <c r="GW104" s="450"/>
      <c r="GX104" s="450"/>
      <c r="GY104" s="450"/>
      <c r="GZ104" s="450"/>
      <c r="HA104" s="450"/>
      <c r="HB104" s="450"/>
      <c r="HC104" s="450"/>
      <c r="HD104" s="450"/>
      <c r="HE104" s="450"/>
      <c r="HF104" s="450"/>
      <c r="HG104" s="450"/>
      <c r="HH104" s="450"/>
      <c r="HI104" s="450"/>
      <c r="HJ104" s="450"/>
      <c r="HK104" s="450"/>
      <c r="HL104" s="450"/>
      <c r="HM104" s="450"/>
      <c r="HN104" s="450"/>
      <c r="HO104" s="450"/>
      <c r="HP104" s="450"/>
      <c r="HQ104" s="450"/>
      <c r="HR104" s="450"/>
      <c r="HS104" s="450"/>
      <c r="HT104" s="450"/>
      <c r="HU104" s="450"/>
      <c r="HV104" s="450"/>
      <c r="HW104" s="450"/>
      <c r="HX104" s="450"/>
      <c r="HY104" s="450"/>
      <c r="HZ104" s="450"/>
      <c r="IA104" s="450"/>
      <c r="IB104" s="450"/>
      <c r="IC104" s="450"/>
      <c r="ID104" s="450"/>
      <c r="IE104" s="450"/>
      <c r="IF104" s="450"/>
      <c r="IG104" s="450"/>
      <c r="IH104" s="450"/>
      <c r="II104" s="450"/>
      <c r="IJ104" s="450"/>
      <c r="IK104" s="450"/>
      <c r="IL104" s="450"/>
      <c r="IM104" s="450"/>
      <c r="IN104" s="450"/>
      <c r="IO104" s="450"/>
      <c r="IP104" s="450"/>
      <c r="IQ104" s="450"/>
      <c r="IR104" s="450"/>
      <c r="IS104" s="450"/>
      <c r="IT104" s="450"/>
      <c r="IU104" s="450"/>
      <c r="IV104" s="450"/>
      <c r="IW104" s="450"/>
      <c r="IX104" s="450"/>
      <c r="IY104" s="450"/>
      <c r="IZ104" s="450"/>
      <c r="JA104" s="450"/>
      <c r="JB104" s="450"/>
      <c r="JC104" s="450"/>
      <c r="JD104" s="450"/>
      <c r="JE104" s="450"/>
      <c r="JF104" s="450"/>
      <c r="JG104" s="450"/>
      <c r="JH104" s="450"/>
      <c r="JI104" s="450"/>
      <c r="JJ104" s="450"/>
      <c r="JK104" s="450"/>
      <c r="JL104" s="450"/>
      <c r="JM104" s="450"/>
      <c r="JN104" s="450"/>
      <c r="JO104" s="450"/>
      <c r="JP104" s="450"/>
      <c r="JQ104" s="450"/>
      <c r="JR104" s="450"/>
      <c r="JS104" s="450"/>
      <c r="JT104" s="450"/>
      <c r="JU104" s="450"/>
      <c r="JV104" s="450"/>
      <c r="JW104" s="450"/>
      <c r="JX104" s="450"/>
      <c r="JY104" s="450"/>
      <c r="JZ104" s="450"/>
      <c r="KA104" s="450"/>
      <c r="KB104" s="450"/>
      <c r="KC104" s="450"/>
      <c r="KD104" s="450"/>
      <c r="KE104" s="450"/>
      <c r="KF104" s="450"/>
      <c r="KG104" s="450"/>
      <c r="KH104" s="450"/>
      <c r="KI104" s="450"/>
      <c r="KJ104" s="450"/>
      <c r="KK104" s="450"/>
      <c r="KL104" s="450"/>
      <c r="KM104" s="450"/>
      <c r="KN104" s="450"/>
      <c r="KO104" s="450"/>
      <c r="KP104" s="450"/>
      <c r="KQ104" s="450"/>
      <c r="KR104" s="450"/>
      <c r="KS104" s="450"/>
      <c r="KT104" s="450"/>
      <c r="KU104" s="450"/>
      <c r="KV104" s="450"/>
      <c r="KW104" s="450"/>
      <c r="KX104" s="450"/>
      <c r="KY104" s="450"/>
      <c r="KZ104" s="450"/>
      <c r="LA104" s="450"/>
      <c r="LB104" s="450"/>
      <c r="LC104" s="450"/>
      <c r="LD104" s="450"/>
      <c r="LE104" s="450"/>
      <c r="LF104" s="450"/>
      <c r="LG104" s="450"/>
      <c r="LH104" s="450"/>
      <c r="LI104" s="450"/>
      <c r="LJ104" s="450"/>
      <c r="LK104" s="450"/>
      <c r="LL104" s="450"/>
      <c r="LM104" s="450"/>
      <c r="LN104" s="450"/>
      <c r="LO104" s="450"/>
      <c r="LP104" s="450"/>
      <c r="LQ104" s="450"/>
      <c r="LR104" s="450"/>
      <c r="LS104" s="450"/>
      <c r="LT104" s="450"/>
      <c r="LU104" s="450"/>
      <c r="LV104" s="450"/>
      <c r="LW104" s="450"/>
      <c r="LX104" s="450"/>
      <c r="LY104" s="450"/>
      <c r="LZ104" s="450"/>
      <c r="MA104" s="450"/>
      <c r="MB104" s="450"/>
      <c r="MC104" s="450"/>
      <c r="MD104" s="450"/>
      <c r="ME104" s="450"/>
      <c r="MF104" s="450"/>
      <c r="MG104" s="450"/>
      <c r="MH104" s="450"/>
      <c r="MI104" s="450"/>
      <c r="MJ104" s="450"/>
      <c r="MK104" s="450"/>
      <c r="ML104" s="450"/>
      <c r="MM104" s="450"/>
      <c r="MN104" s="450"/>
      <c r="MO104" s="450"/>
      <c r="MP104" s="450"/>
      <c r="MQ104" s="450"/>
      <c r="MR104" s="450"/>
      <c r="MS104" s="450"/>
      <c r="MT104" s="450"/>
      <c r="MU104" s="450"/>
      <c r="MV104" s="450"/>
      <c r="MW104" s="450"/>
      <c r="MX104" s="450"/>
      <c r="MY104" s="450"/>
      <c r="MZ104" s="450"/>
      <c r="NA104" s="450"/>
      <c r="NB104" s="450"/>
      <c r="NC104" s="450"/>
      <c r="ND104" s="450"/>
      <c r="NE104" s="450"/>
      <c r="NF104" s="450"/>
      <c r="NG104" s="450"/>
      <c r="NH104" s="450"/>
      <c r="NI104" s="450"/>
      <c r="NJ104" s="450"/>
      <c r="NK104" s="450"/>
      <c r="NL104" s="450"/>
      <c r="NM104" s="450"/>
      <c r="NN104" s="450"/>
      <c r="NO104" s="450"/>
      <c r="NP104" s="450"/>
      <c r="NQ104" s="450"/>
      <c r="NR104" s="450"/>
      <c r="NS104" s="450"/>
      <c r="NT104" s="450"/>
      <c r="NU104" s="450"/>
      <c r="NV104" s="450"/>
      <c r="NW104" s="450"/>
      <c r="NX104" s="450"/>
      <c r="NY104" s="450"/>
      <c r="NZ104" s="450"/>
      <c r="OA104" s="450"/>
      <c r="OB104" s="450"/>
      <c r="OC104" s="450"/>
      <c r="OD104" s="450"/>
      <c r="OE104" s="450"/>
      <c r="OF104" s="450"/>
      <c r="OG104" s="450"/>
      <c r="OH104" s="450"/>
      <c r="OI104" s="450"/>
      <c r="OJ104" s="450"/>
      <c r="OK104" s="450"/>
      <c r="OL104" s="450"/>
      <c r="OM104" s="450"/>
      <c r="ON104" s="450"/>
      <c r="OO104" s="450"/>
      <c r="OP104" s="450"/>
      <c r="OQ104" s="450"/>
      <c r="OR104" s="450"/>
      <c r="OS104" s="450"/>
      <c r="OT104" s="450"/>
      <c r="OU104" s="450"/>
      <c r="OV104" s="450"/>
      <c r="OW104" s="450"/>
      <c r="OX104" s="450"/>
      <c r="OY104" s="450"/>
      <c r="OZ104" s="450"/>
      <c r="PA104" s="450"/>
      <c r="PB104" s="450"/>
      <c r="PC104" s="450"/>
      <c r="PD104" s="450"/>
      <c r="PE104" s="450"/>
      <c r="PF104" s="450"/>
      <c r="PG104" s="450"/>
      <c r="PH104" s="450"/>
      <c r="PI104" s="450"/>
      <c r="PJ104" s="450"/>
      <c r="PK104" s="450"/>
      <c r="PL104" s="450"/>
      <c r="PM104" s="450"/>
      <c r="PN104" s="450"/>
      <c r="PO104" s="450"/>
      <c r="PP104" s="450"/>
      <c r="PQ104" s="450"/>
      <c r="PR104" s="450"/>
      <c r="PS104" s="450"/>
      <c r="PT104" s="450"/>
      <c r="PU104" s="450"/>
      <c r="PV104" s="450"/>
      <c r="PW104" s="450"/>
      <c r="PX104" s="450"/>
      <c r="PY104" s="450"/>
      <c r="PZ104" s="450"/>
      <c r="QA104" s="450"/>
      <c r="QB104" s="450"/>
      <c r="QC104" s="450"/>
      <c r="QD104" s="450"/>
      <c r="QE104" s="450"/>
      <c r="QF104" s="450"/>
      <c r="QG104" s="450"/>
      <c r="QH104" s="450"/>
      <c r="QI104" s="450"/>
      <c r="QJ104" s="450"/>
      <c r="QK104" s="450"/>
      <c r="QL104" s="450"/>
      <c r="QM104" s="450"/>
      <c r="QN104" s="450"/>
      <c r="QO104" s="450"/>
      <c r="QP104" s="450"/>
      <c r="QQ104" s="450"/>
      <c r="QR104" s="450"/>
      <c r="QS104" s="450"/>
      <c r="QT104" s="450"/>
      <c r="QU104" s="450"/>
      <c r="QV104" s="450"/>
      <c r="QW104" s="450"/>
      <c r="QX104" s="450"/>
      <c r="QY104" s="450"/>
      <c r="QZ104" s="450"/>
      <c r="RA104" s="450"/>
      <c r="RB104" s="450"/>
      <c r="RC104" s="450"/>
      <c r="RD104" s="450"/>
      <c r="RE104" s="450"/>
      <c r="RF104" s="450"/>
      <c r="RG104" s="450"/>
      <c r="RH104" s="450"/>
      <c r="RI104" s="450"/>
      <c r="RJ104" s="450"/>
      <c r="RK104" s="450"/>
      <c r="RL104" s="450"/>
      <c r="RM104" s="450"/>
      <c r="RN104" s="450"/>
      <c r="RO104" s="450"/>
      <c r="RP104" s="450"/>
      <c r="RQ104" s="450"/>
      <c r="RR104" s="450"/>
      <c r="RS104" s="450"/>
      <c r="RT104" s="450"/>
      <c r="RU104" s="450"/>
      <c r="RV104" s="450"/>
      <c r="RW104" s="450"/>
      <c r="RX104" s="450"/>
      <c r="RY104" s="450"/>
      <c r="RZ104" s="450"/>
      <c r="SA104" s="450"/>
      <c r="SB104" s="450"/>
      <c r="SC104" s="450"/>
      <c r="SD104" s="450"/>
      <c r="SE104" s="450"/>
      <c r="SF104" s="450"/>
      <c r="SG104" s="450"/>
      <c r="SH104" s="450"/>
      <c r="SI104" s="450"/>
      <c r="SJ104" s="450"/>
      <c r="SK104" s="450"/>
      <c r="SL104" s="450"/>
      <c r="SM104" s="450"/>
      <c r="SN104" s="450"/>
      <c r="SO104" s="450"/>
      <c r="SP104" s="450"/>
      <c r="SQ104" s="450"/>
      <c r="SR104" s="450"/>
      <c r="SS104" s="450"/>
      <c r="ST104" s="450"/>
      <c r="SU104" s="450"/>
      <c r="SV104" s="450"/>
      <c r="SW104" s="450"/>
      <c r="SX104" s="450"/>
      <c r="SY104" s="450"/>
      <c r="SZ104" s="450"/>
      <c r="TA104" s="450"/>
      <c r="TB104" s="450"/>
      <c r="TC104" s="450"/>
      <c r="TD104" s="450"/>
      <c r="TE104" s="450"/>
      <c r="TF104" s="450"/>
      <c r="TG104" s="450"/>
      <c r="TH104" s="450"/>
      <c r="TI104" s="450"/>
      <c r="TJ104" s="450"/>
      <c r="TK104" s="450"/>
      <c r="TL104" s="450"/>
      <c r="TM104" s="450"/>
      <c r="TN104" s="450"/>
      <c r="TO104" s="450"/>
      <c r="TP104" s="450"/>
      <c r="TQ104" s="450"/>
      <c r="TR104" s="450"/>
      <c r="TS104" s="450"/>
      <c r="TT104" s="450"/>
      <c r="TU104" s="450"/>
      <c r="TV104" s="450"/>
      <c r="TW104" s="450"/>
      <c r="TX104" s="450"/>
      <c r="TY104" s="450"/>
      <c r="TZ104" s="450"/>
      <c r="UA104" s="450"/>
      <c r="UB104" s="450"/>
      <c r="UC104" s="450"/>
      <c r="UD104" s="450"/>
      <c r="UE104" s="450"/>
      <c r="UF104" s="450"/>
      <c r="UG104" s="450"/>
      <c r="UH104" s="450"/>
      <c r="UI104" s="450"/>
      <c r="UJ104" s="450"/>
      <c r="UK104" s="450"/>
      <c r="UL104" s="450"/>
      <c r="UM104" s="450"/>
      <c r="UN104" s="450"/>
      <c r="UO104" s="450"/>
      <c r="UP104" s="450"/>
      <c r="UQ104" s="450"/>
      <c r="UR104" s="450"/>
      <c r="US104" s="450"/>
      <c r="UT104" s="450"/>
      <c r="UU104" s="450"/>
      <c r="UV104" s="450"/>
      <c r="UW104" s="450"/>
      <c r="UX104" s="450"/>
      <c r="UY104" s="450"/>
      <c r="UZ104" s="450"/>
      <c r="VA104" s="450"/>
      <c r="VB104" s="450"/>
      <c r="VC104" s="450"/>
      <c r="VD104" s="450"/>
      <c r="VE104" s="450"/>
      <c r="VF104" s="450"/>
      <c r="VG104" s="450"/>
      <c r="VH104" s="450"/>
      <c r="VI104" s="450"/>
      <c r="VJ104" s="450"/>
      <c r="VK104" s="450"/>
      <c r="VL104" s="450"/>
      <c r="VM104" s="450"/>
      <c r="VN104" s="450"/>
      <c r="VO104" s="450"/>
      <c r="VP104" s="450"/>
      <c r="VQ104" s="450"/>
      <c r="VR104" s="450"/>
      <c r="VS104" s="450"/>
      <c r="VT104" s="450"/>
      <c r="VU104" s="450"/>
      <c r="VV104" s="450"/>
      <c r="VW104" s="450"/>
      <c r="VX104" s="450"/>
      <c r="VY104" s="450"/>
      <c r="VZ104" s="450"/>
      <c r="WA104" s="450"/>
      <c r="WB104" s="450"/>
      <c r="WC104" s="450"/>
      <c r="WD104" s="450"/>
      <c r="WE104" s="450"/>
      <c r="WF104" s="450"/>
      <c r="WG104" s="450"/>
      <c r="WH104" s="450"/>
      <c r="WI104" s="450"/>
      <c r="WJ104" s="450"/>
      <c r="WK104" s="450"/>
      <c r="WL104" s="450"/>
      <c r="WM104" s="450"/>
      <c r="WN104" s="450"/>
      <c r="WO104" s="450"/>
      <c r="WP104" s="450"/>
      <c r="WQ104" s="450"/>
      <c r="WR104" s="450"/>
      <c r="WS104" s="450"/>
      <c r="WT104" s="450"/>
      <c r="WU104" s="450"/>
      <c r="WV104" s="450"/>
      <c r="WW104" s="450"/>
      <c r="WX104" s="450"/>
      <c r="WY104" s="450"/>
      <c r="WZ104" s="450"/>
      <c r="XA104" s="450"/>
      <c r="XB104" s="450"/>
      <c r="XC104" s="450"/>
      <c r="XD104" s="450"/>
      <c r="XE104" s="450"/>
      <c r="XF104" s="450"/>
      <c r="XG104" s="450"/>
      <c r="XH104" s="450"/>
      <c r="XI104" s="450"/>
      <c r="XJ104" s="450"/>
      <c r="XK104" s="450"/>
      <c r="XL104" s="450"/>
      <c r="XM104" s="450"/>
      <c r="XN104" s="450"/>
      <c r="XO104" s="450"/>
      <c r="XP104" s="450"/>
      <c r="XQ104" s="450"/>
      <c r="XR104" s="450"/>
      <c r="XS104" s="450"/>
      <c r="XT104" s="450"/>
      <c r="XU104" s="450"/>
      <c r="XV104" s="450"/>
      <c r="XW104" s="450"/>
      <c r="XX104" s="450"/>
      <c r="XY104" s="450"/>
      <c r="XZ104" s="450"/>
      <c r="YA104" s="450"/>
      <c r="YB104" s="450"/>
      <c r="YC104" s="450"/>
      <c r="YD104" s="450"/>
      <c r="YE104" s="450"/>
      <c r="YF104" s="450"/>
      <c r="YG104" s="450"/>
      <c r="YH104" s="450"/>
      <c r="YI104" s="450"/>
      <c r="YJ104" s="450"/>
      <c r="YK104" s="450"/>
      <c r="YL104" s="450"/>
      <c r="YM104" s="450"/>
      <c r="YN104" s="450"/>
      <c r="YO104" s="450"/>
      <c r="YP104" s="450"/>
      <c r="YQ104" s="450"/>
      <c r="YR104" s="450"/>
      <c r="YS104" s="450"/>
      <c r="YT104" s="450"/>
      <c r="YU104" s="450"/>
      <c r="YV104" s="450"/>
      <c r="YW104" s="450"/>
      <c r="YX104" s="450"/>
      <c r="YY104" s="450"/>
      <c r="YZ104" s="450"/>
      <c r="ZA104" s="450"/>
      <c r="ZB104" s="450"/>
      <c r="ZC104" s="450"/>
      <c r="ZD104" s="450"/>
      <c r="ZE104" s="450"/>
      <c r="ZF104" s="450"/>
      <c r="ZG104" s="450"/>
      <c r="ZH104" s="450"/>
      <c r="ZI104" s="450"/>
      <c r="ZJ104" s="450"/>
      <c r="ZK104" s="450"/>
      <c r="ZL104" s="450"/>
      <c r="ZM104" s="450"/>
      <c r="ZN104" s="450"/>
      <c r="ZO104" s="450"/>
      <c r="ZP104" s="450"/>
      <c r="ZQ104" s="450"/>
      <c r="ZR104" s="450"/>
      <c r="ZS104" s="450"/>
      <c r="ZT104" s="450"/>
      <c r="ZU104" s="450"/>
      <c r="ZV104" s="450"/>
      <c r="ZW104" s="450"/>
      <c r="ZX104" s="450"/>
      <c r="ZY104" s="450"/>
      <c r="ZZ104" s="450"/>
      <c r="AAA104" s="450"/>
      <c r="AAB104" s="450"/>
      <c r="AAC104" s="450"/>
      <c r="AAD104" s="450"/>
      <c r="AAE104" s="450"/>
      <c r="AAF104" s="450"/>
      <c r="AAG104" s="450"/>
      <c r="AAH104" s="450"/>
      <c r="AAI104" s="450"/>
      <c r="AAJ104" s="450"/>
      <c r="AAK104" s="450"/>
      <c r="AAL104" s="450"/>
      <c r="AAM104" s="450"/>
      <c r="AAN104" s="450"/>
      <c r="AAO104" s="450"/>
      <c r="AAP104" s="450"/>
      <c r="AAQ104" s="450"/>
      <c r="AAR104" s="450"/>
      <c r="AAS104" s="450"/>
      <c r="AAT104" s="450"/>
      <c r="AAU104" s="450"/>
      <c r="AAV104" s="450"/>
      <c r="AAW104" s="450"/>
      <c r="AAX104" s="450"/>
      <c r="AAY104" s="450"/>
      <c r="AAZ104" s="450"/>
      <c r="ABA104" s="450"/>
      <c r="ABB104" s="450"/>
      <c r="ABC104" s="450"/>
      <c r="ABD104" s="450"/>
      <c r="ABE104" s="450"/>
      <c r="ABF104" s="450"/>
      <c r="ABG104" s="450"/>
      <c r="ABH104" s="450"/>
      <c r="ABI104" s="450"/>
      <c r="ABJ104" s="450"/>
      <c r="ABK104" s="450"/>
      <c r="ABL104" s="450"/>
      <c r="ABM104" s="450"/>
      <c r="ABN104" s="450"/>
      <c r="ABO104" s="450"/>
      <c r="ABP104" s="450"/>
      <c r="ABQ104" s="450"/>
      <c r="ABR104" s="450"/>
      <c r="ABS104" s="450"/>
      <c r="ABT104" s="450"/>
      <c r="ABU104" s="450"/>
      <c r="ABV104" s="450"/>
      <c r="ABW104" s="450"/>
      <c r="ABX104" s="450"/>
      <c r="ABY104" s="450"/>
      <c r="ABZ104" s="450"/>
      <c r="ACA104" s="450"/>
      <c r="ACB104" s="450"/>
      <c r="ACC104" s="450"/>
      <c r="ACD104" s="450"/>
      <c r="ACE104" s="450"/>
      <c r="ACF104" s="450"/>
      <c r="ACG104" s="450"/>
      <c r="ACH104" s="450"/>
      <c r="ACI104" s="450"/>
      <c r="ACJ104" s="450"/>
      <c r="ACK104" s="450"/>
      <c r="ACL104" s="450"/>
      <c r="ACM104" s="450"/>
      <c r="ACN104" s="450"/>
      <c r="ACO104" s="450"/>
      <c r="ACP104" s="450"/>
      <c r="ACQ104" s="450"/>
      <c r="ACR104" s="450"/>
      <c r="ACS104" s="450"/>
      <c r="ACT104" s="450"/>
      <c r="ACU104" s="450"/>
      <c r="ACV104" s="450"/>
      <c r="ACW104" s="450"/>
      <c r="ACX104" s="450"/>
      <c r="ACY104" s="450"/>
      <c r="ACZ104" s="450"/>
      <c r="ADA104" s="450"/>
      <c r="ADB104" s="450"/>
      <c r="ADC104" s="450"/>
      <c r="ADD104" s="450"/>
      <c r="ADE104" s="450"/>
      <c r="ADF104" s="450"/>
      <c r="ADG104" s="450"/>
      <c r="ADH104" s="450"/>
      <c r="ADI104" s="450"/>
      <c r="ADJ104" s="450"/>
      <c r="ADK104" s="450"/>
      <c r="ADL104" s="450"/>
      <c r="ADM104" s="450"/>
      <c r="ADN104" s="450"/>
      <c r="ADO104" s="450"/>
      <c r="ADP104" s="450"/>
      <c r="ADQ104" s="450"/>
      <c r="ADR104" s="450"/>
      <c r="ADS104" s="450"/>
      <c r="ADT104" s="450"/>
      <c r="ADU104" s="450"/>
      <c r="ADV104" s="450"/>
      <c r="ADW104" s="450"/>
      <c r="ADX104" s="450"/>
      <c r="ADY104" s="450"/>
      <c r="ADZ104" s="450"/>
      <c r="AEA104" s="450"/>
      <c r="AEB104" s="450"/>
      <c r="AEC104" s="450"/>
      <c r="AED104" s="450"/>
      <c r="AEE104" s="450"/>
      <c r="AEF104" s="450"/>
      <c r="AEG104" s="450"/>
      <c r="AEH104" s="450"/>
      <c r="AEI104" s="450"/>
      <c r="AEJ104" s="450"/>
      <c r="AEK104" s="450"/>
      <c r="AEL104" s="450"/>
      <c r="AEM104" s="450"/>
      <c r="AEN104" s="450"/>
      <c r="AEO104" s="450"/>
      <c r="AEP104" s="450"/>
      <c r="AEQ104" s="450"/>
      <c r="AER104" s="450"/>
      <c r="AES104" s="450"/>
      <c r="AET104" s="450"/>
      <c r="AEU104" s="450"/>
      <c r="AEV104" s="450"/>
      <c r="AEW104" s="450"/>
      <c r="AEX104" s="450"/>
      <c r="AEY104" s="450"/>
      <c r="AEZ104" s="450"/>
      <c r="AFA104" s="450"/>
      <c r="AFB104" s="450"/>
      <c r="AFC104" s="450"/>
      <c r="AFD104" s="450"/>
      <c r="AFE104" s="450"/>
      <c r="AFF104" s="450"/>
      <c r="AFG104" s="450"/>
      <c r="AFH104" s="450"/>
      <c r="AFI104" s="450"/>
      <c r="AFJ104" s="450"/>
      <c r="AFK104" s="450"/>
      <c r="AFL104" s="450"/>
      <c r="AFM104" s="450"/>
      <c r="AFN104" s="450"/>
      <c r="AFO104" s="450"/>
      <c r="AFP104" s="450"/>
      <c r="AFQ104" s="450"/>
      <c r="AFR104" s="450"/>
      <c r="AFS104" s="450"/>
      <c r="AFT104" s="450"/>
      <c r="AFU104" s="450"/>
      <c r="AFV104" s="450"/>
      <c r="AFW104" s="450"/>
      <c r="AFX104" s="450"/>
      <c r="AFY104" s="450"/>
      <c r="AFZ104" s="450"/>
      <c r="AGA104" s="450"/>
      <c r="AGB104" s="450"/>
      <c r="AGC104" s="450"/>
      <c r="AGD104" s="450"/>
      <c r="AGE104" s="450"/>
      <c r="AGF104" s="450"/>
      <c r="AGG104" s="450"/>
      <c r="AGH104" s="450"/>
      <c r="AGI104" s="450"/>
      <c r="AGJ104" s="450"/>
      <c r="AGK104" s="450"/>
      <c r="AGL104" s="450"/>
      <c r="AGM104" s="450"/>
      <c r="AGN104" s="450"/>
      <c r="AGO104" s="450"/>
      <c r="AGP104" s="450"/>
      <c r="AGQ104" s="450"/>
      <c r="AGR104" s="450"/>
      <c r="AGS104" s="450"/>
      <c r="AGT104" s="450"/>
      <c r="AGU104" s="450"/>
      <c r="AGV104" s="450"/>
      <c r="AGW104" s="450"/>
      <c r="AGX104" s="450"/>
      <c r="AGY104" s="450"/>
      <c r="AGZ104" s="450"/>
      <c r="AHA104" s="450"/>
      <c r="AHB104" s="450"/>
      <c r="AHC104" s="450"/>
      <c r="AHD104" s="450"/>
      <c r="AHE104" s="450"/>
      <c r="AHF104" s="450"/>
      <c r="AHG104" s="450"/>
      <c r="AHH104" s="450"/>
      <c r="AHI104" s="450"/>
      <c r="AHJ104" s="450"/>
      <c r="AHK104" s="450"/>
      <c r="AHL104" s="450"/>
      <c r="AHM104" s="450"/>
      <c r="AHN104" s="450"/>
      <c r="AHO104" s="450"/>
      <c r="AHP104" s="450"/>
      <c r="AHQ104" s="450"/>
      <c r="AHR104" s="450"/>
      <c r="AHS104" s="450"/>
      <c r="AHT104" s="450"/>
      <c r="AHU104" s="450"/>
      <c r="AHV104" s="450"/>
      <c r="AHW104" s="450"/>
      <c r="AHX104" s="450"/>
      <c r="AHY104" s="450"/>
      <c r="AHZ104" s="450"/>
      <c r="AIA104" s="450"/>
      <c r="AIB104" s="450"/>
      <c r="AIC104" s="450"/>
      <c r="AID104" s="450"/>
      <c r="AIE104" s="450"/>
      <c r="AIF104" s="450"/>
      <c r="AIG104" s="450"/>
      <c r="AIH104" s="450"/>
      <c r="AII104" s="450"/>
      <c r="AIJ104" s="450"/>
      <c r="AIK104" s="450"/>
      <c r="AIL104" s="450"/>
      <c r="AIM104" s="450"/>
      <c r="AIN104" s="450"/>
      <c r="AIO104" s="450"/>
      <c r="AIP104" s="450"/>
      <c r="AIQ104" s="450"/>
      <c r="AIR104" s="450"/>
      <c r="AIS104" s="450"/>
      <c r="AIT104" s="450"/>
      <c r="AIU104" s="450"/>
      <c r="AIV104" s="450"/>
      <c r="AIW104" s="450"/>
      <c r="AIX104" s="450"/>
      <c r="AIY104" s="450"/>
      <c r="AIZ104" s="450"/>
      <c r="AJA104" s="450"/>
      <c r="AJB104" s="450"/>
      <c r="AJC104" s="450"/>
      <c r="AJD104" s="450"/>
      <c r="AJE104" s="450"/>
      <c r="AJF104" s="450"/>
      <c r="AJG104" s="450"/>
      <c r="AJH104" s="450"/>
      <c r="AJI104" s="450"/>
      <c r="AJJ104" s="450"/>
      <c r="AJK104" s="450"/>
      <c r="AJL104" s="450"/>
      <c r="AJM104" s="450"/>
      <c r="AJN104" s="450"/>
      <c r="AJO104" s="450"/>
      <c r="AJP104" s="450"/>
      <c r="AJQ104" s="450"/>
      <c r="AJR104" s="450"/>
      <c r="AJS104" s="450"/>
      <c r="AJT104" s="450"/>
      <c r="AJU104" s="450"/>
      <c r="AJV104" s="450"/>
      <c r="AJW104" s="450"/>
      <c r="AJX104" s="450"/>
      <c r="AJY104" s="450"/>
      <c r="AJZ104" s="450"/>
      <c r="AKA104" s="450"/>
      <c r="AKB104" s="450"/>
      <c r="AKC104" s="450"/>
      <c r="AKD104" s="450"/>
      <c r="AKE104" s="450"/>
      <c r="AKF104" s="450"/>
      <c r="AKG104" s="450"/>
      <c r="AKH104" s="450"/>
      <c r="AKI104" s="450"/>
      <c r="AKJ104" s="450"/>
      <c r="AKK104" s="450"/>
      <c r="AKL104" s="450"/>
      <c r="AKM104" s="450"/>
      <c r="AKN104" s="450"/>
      <c r="AKO104" s="450"/>
      <c r="AKP104" s="450"/>
      <c r="AKQ104" s="450"/>
      <c r="AKR104" s="450"/>
      <c r="AKS104" s="450"/>
      <c r="AKT104" s="450"/>
      <c r="AKU104" s="450"/>
      <c r="AKV104" s="450"/>
      <c r="AKW104" s="450"/>
      <c r="AKX104" s="450"/>
      <c r="AKY104" s="450"/>
      <c r="AKZ104" s="450"/>
      <c r="ALA104" s="450"/>
      <c r="ALB104" s="450"/>
      <c r="ALC104" s="450"/>
      <c r="ALD104" s="450"/>
      <c r="ALE104" s="450"/>
      <c r="ALF104" s="450"/>
      <c r="ALG104" s="450"/>
      <c r="ALH104" s="450"/>
      <c r="ALI104" s="450"/>
      <c r="ALJ104" s="450"/>
      <c r="ALK104" s="450"/>
      <c r="ALL104" s="450"/>
      <c r="ALM104" s="450"/>
      <c r="ALN104" s="450"/>
      <c r="ALO104" s="450"/>
      <c r="ALP104" s="450"/>
      <c r="ALQ104" s="450"/>
      <c r="ALR104" s="450"/>
      <c r="ALS104" s="450"/>
      <c r="ALT104" s="450"/>
      <c r="ALU104" s="450"/>
      <c r="ALV104" s="450"/>
      <c r="ALW104" s="450"/>
      <c r="ALX104" s="450"/>
      <c r="ALY104" s="450"/>
      <c r="ALZ104" s="450"/>
      <c r="AMA104" s="450"/>
      <c r="AMB104" s="450"/>
      <c r="AMC104" s="450"/>
      <c r="AMD104" s="450"/>
      <c r="AME104" s="450"/>
      <c r="AMF104" s="450"/>
      <c r="AMG104" s="450"/>
      <c r="AMH104" s="450"/>
      <c r="AMI104" s="450"/>
      <c r="AMJ104" s="450"/>
      <c r="AMK104" s="450"/>
      <c r="AML104" s="450"/>
      <c r="AMM104" s="450"/>
      <c r="AMN104" s="450"/>
      <c r="AMO104" s="450"/>
      <c r="AMP104" s="450"/>
      <c r="AMQ104" s="450"/>
      <c r="AMR104" s="450"/>
      <c r="AMS104" s="450"/>
      <c r="AMT104" s="450"/>
      <c r="AMU104" s="450"/>
      <c r="AMV104" s="450"/>
      <c r="AMW104" s="450"/>
      <c r="AMX104" s="450"/>
      <c r="AMY104" s="450"/>
      <c r="AMZ104" s="450"/>
      <c r="ANA104" s="450"/>
      <c r="ANB104" s="450"/>
      <c r="ANC104" s="450"/>
      <c r="AND104" s="450"/>
      <c r="ANE104" s="450"/>
      <c r="ANF104" s="450"/>
      <c r="ANG104" s="450"/>
      <c r="ANH104" s="450"/>
      <c r="ANI104" s="450"/>
      <c r="ANJ104" s="450"/>
      <c r="ANK104" s="450"/>
      <c r="ANL104" s="450"/>
      <c r="ANM104" s="450"/>
      <c r="ANN104" s="450"/>
      <c r="ANO104" s="450"/>
      <c r="ANP104" s="450"/>
      <c r="ANQ104" s="450"/>
      <c r="ANR104" s="450"/>
      <c r="ANS104" s="450"/>
      <c r="ANT104" s="450"/>
      <c r="ANU104" s="450"/>
      <c r="ANV104" s="450"/>
      <c r="ANW104" s="450"/>
      <c r="ANX104" s="450"/>
      <c r="ANY104" s="450"/>
      <c r="ANZ104" s="450"/>
      <c r="AOA104" s="450"/>
      <c r="AOB104" s="450"/>
      <c r="AOC104" s="450"/>
      <c r="AOD104" s="450"/>
      <c r="AOE104" s="450"/>
      <c r="AOF104" s="450"/>
      <c r="AOG104" s="450"/>
      <c r="AOH104" s="450"/>
      <c r="AOI104" s="450"/>
      <c r="AOJ104" s="450"/>
      <c r="AOK104" s="450"/>
      <c r="AOL104" s="450"/>
      <c r="AOM104" s="450"/>
      <c r="AON104" s="450"/>
      <c r="AOO104" s="450"/>
      <c r="AOP104" s="450"/>
      <c r="AOQ104" s="450"/>
      <c r="AOR104" s="450"/>
      <c r="AOS104" s="450"/>
      <c r="AOT104" s="450"/>
      <c r="AOU104" s="450"/>
      <c r="AOV104" s="450"/>
      <c r="AOW104" s="450"/>
      <c r="AOX104" s="450"/>
      <c r="AOY104" s="450"/>
      <c r="AOZ104" s="450"/>
      <c r="APA104" s="450"/>
      <c r="APB104" s="450"/>
      <c r="APC104" s="450"/>
      <c r="APD104" s="450"/>
      <c r="APE104" s="450"/>
      <c r="APF104" s="450"/>
      <c r="APG104" s="450"/>
      <c r="APH104" s="450"/>
      <c r="API104" s="450"/>
      <c r="APJ104" s="450"/>
      <c r="APK104" s="450"/>
      <c r="APL104" s="450"/>
      <c r="APM104" s="450"/>
      <c r="APN104" s="450"/>
      <c r="APO104" s="450"/>
      <c r="APP104" s="450"/>
      <c r="APQ104" s="450"/>
      <c r="APR104" s="450"/>
      <c r="APS104" s="450"/>
      <c r="APT104" s="450"/>
      <c r="APU104" s="450"/>
      <c r="APV104" s="450"/>
      <c r="APW104" s="450"/>
      <c r="APX104" s="450"/>
      <c r="APY104" s="450"/>
      <c r="APZ104" s="450"/>
      <c r="AQA104" s="450"/>
      <c r="AQB104" s="450"/>
      <c r="AQC104" s="450"/>
      <c r="AQD104" s="450"/>
      <c r="AQE104" s="450"/>
      <c r="AQF104" s="450"/>
      <c r="AQG104" s="450"/>
      <c r="AQH104" s="450"/>
      <c r="AQI104" s="450"/>
      <c r="AQJ104" s="450"/>
      <c r="AQK104" s="450"/>
      <c r="AQL104" s="450"/>
      <c r="AQM104" s="450"/>
      <c r="AQN104" s="450"/>
      <c r="AQO104" s="450"/>
      <c r="AQP104" s="450"/>
      <c r="AQQ104" s="450"/>
      <c r="AQR104" s="450"/>
      <c r="AQS104" s="450"/>
      <c r="AQT104" s="450"/>
      <c r="AQU104" s="450"/>
      <c r="AQV104" s="450"/>
      <c r="AQW104" s="450"/>
      <c r="AQX104" s="450"/>
      <c r="AQY104" s="450"/>
      <c r="AQZ104" s="450"/>
      <c r="ARA104" s="450"/>
      <c r="ARB104" s="450"/>
      <c r="ARC104" s="450"/>
      <c r="ARD104" s="450"/>
      <c r="ARE104" s="450"/>
      <c r="ARF104" s="450"/>
      <c r="ARG104" s="450"/>
      <c r="ARH104" s="450"/>
      <c r="ARI104" s="450"/>
      <c r="ARJ104" s="450"/>
      <c r="ARK104" s="450"/>
      <c r="ARL104" s="450"/>
      <c r="ARM104" s="450"/>
      <c r="ARN104" s="450"/>
      <c r="ARO104" s="450"/>
      <c r="ARP104" s="450"/>
      <c r="ARQ104" s="450"/>
      <c r="ARR104" s="450"/>
      <c r="ARS104" s="450"/>
      <c r="ART104" s="450"/>
      <c r="ARU104" s="450"/>
      <c r="ARV104" s="450"/>
      <c r="ARW104" s="450"/>
      <c r="ARX104" s="450"/>
      <c r="ARY104" s="450"/>
      <c r="ARZ104" s="450"/>
      <c r="ASA104" s="450"/>
      <c r="ASB104" s="450"/>
      <c r="ASC104" s="450"/>
      <c r="ASD104" s="450"/>
      <c r="ASE104" s="450"/>
      <c r="ASF104" s="450"/>
      <c r="ASG104" s="450"/>
      <c r="ASH104" s="450"/>
      <c r="ASI104" s="450"/>
      <c r="ASJ104" s="450"/>
      <c r="ASK104" s="450"/>
      <c r="ASL104" s="450"/>
      <c r="ASM104" s="450"/>
      <c r="ASN104" s="450"/>
      <c r="ASO104" s="450"/>
      <c r="ASP104" s="450"/>
      <c r="ASQ104" s="450"/>
      <c r="ASR104" s="450"/>
      <c r="ASS104" s="450"/>
      <c r="AST104" s="450"/>
      <c r="ASU104" s="450"/>
      <c r="ASV104" s="450"/>
      <c r="ASW104" s="450"/>
      <c r="ASX104" s="450"/>
      <c r="ASY104" s="450"/>
      <c r="ASZ104" s="450"/>
      <c r="ATA104" s="450"/>
      <c r="ATB104" s="450"/>
      <c r="ATC104" s="450"/>
      <c r="ATD104" s="450"/>
      <c r="ATE104" s="450"/>
      <c r="ATF104" s="450"/>
      <c r="ATG104" s="450"/>
      <c r="ATH104" s="450"/>
      <c r="ATI104" s="450"/>
      <c r="ATJ104" s="450"/>
      <c r="ATK104" s="450"/>
      <c r="ATL104" s="450"/>
      <c r="ATM104" s="450"/>
      <c r="ATN104" s="450"/>
      <c r="ATO104" s="450"/>
      <c r="ATP104" s="450"/>
      <c r="ATQ104" s="450"/>
      <c r="ATR104" s="450"/>
      <c r="ATS104" s="450"/>
      <c r="ATT104" s="450"/>
      <c r="ATU104" s="450"/>
      <c r="ATV104" s="450"/>
      <c r="ATW104" s="450"/>
      <c r="ATX104" s="450"/>
      <c r="ATY104" s="450"/>
      <c r="ATZ104" s="450"/>
      <c r="AUA104" s="450"/>
      <c r="AUB104" s="450"/>
      <c r="AUC104" s="450"/>
      <c r="AUD104" s="450"/>
      <c r="AUE104" s="450"/>
      <c r="AUF104" s="450"/>
      <c r="AUG104" s="450"/>
      <c r="AUH104" s="450"/>
      <c r="AUI104" s="450"/>
      <c r="AUJ104" s="450"/>
      <c r="AUK104" s="450"/>
      <c r="AUL104" s="450"/>
      <c r="AUM104" s="450"/>
      <c r="AUN104" s="450"/>
      <c r="AUO104" s="450"/>
      <c r="AUP104" s="450"/>
      <c r="AUQ104" s="450"/>
      <c r="AUR104" s="450"/>
      <c r="AUS104" s="450"/>
      <c r="AUT104" s="450"/>
      <c r="AUU104" s="450"/>
      <c r="AUV104" s="450"/>
      <c r="AUW104" s="450"/>
      <c r="AUX104" s="450"/>
      <c r="AUY104" s="450"/>
      <c r="AUZ104" s="450"/>
      <c r="AVA104" s="450"/>
      <c r="AVB104" s="450"/>
      <c r="AVC104" s="450"/>
      <c r="AVD104" s="450"/>
      <c r="AVE104" s="450"/>
      <c r="AVF104" s="450"/>
      <c r="AVG104" s="450"/>
      <c r="AVH104" s="450"/>
      <c r="AVI104" s="450"/>
      <c r="AVJ104" s="450"/>
      <c r="AVK104" s="450"/>
      <c r="AVL104" s="450"/>
      <c r="AVM104" s="450"/>
      <c r="AVN104" s="450"/>
      <c r="AVO104" s="450"/>
      <c r="AVP104" s="450"/>
      <c r="AVQ104" s="450"/>
      <c r="AVR104" s="450"/>
      <c r="AVS104" s="450"/>
      <c r="AVT104" s="450"/>
      <c r="AVU104" s="450"/>
      <c r="AVV104" s="450"/>
      <c r="AVW104" s="450"/>
      <c r="AVX104" s="450"/>
      <c r="AVY104" s="450"/>
      <c r="AVZ104" s="450"/>
      <c r="AWA104" s="450"/>
      <c r="AWB104" s="450"/>
      <c r="AWC104" s="450"/>
      <c r="AWD104" s="450"/>
      <c r="AWE104" s="450"/>
      <c r="AWF104" s="450"/>
      <c r="AWG104" s="450"/>
      <c r="AWH104" s="450"/>
      <c r="AWI104" s="450"/>
      <c r="AWJ104" s="450"/>
      <c r="AWK104" s="450"/>
      <c r="AWL104" s="450"/>
      <c r="AWM104" s="450"/>
      <c r="AWN104" s="450"/>
      <c r="AWO104" s="450"/>
      <c r="AWP104" s="450"/>
      <c r="AWQ104" s="450"/>
      <c r="AWR104" s="450"/>
      <c r="AWS104" s="450"/>
      <c r="AWT104" s="450"/>
      <c r="AWU104" s="450"/>
      <c r="AWV104" s="450"/>
      <c r="AWW104" s="450"/>
      <c r="AWX104" s="450"/>
      <c r="AWY104" s="450"/>
      <c r="AWZ104" s="450"/>
      <c r="AXA104" s="450"/>
      <c r="AXB104" s="450"/>
      <c r="AXC104" s="450"/>
      <c r="AXD104" s="450"/>
      <c r="AXE104" s="450"/>
      <c r="AXF104" s="450"/>
      <c r="AXG104" s="450"/>
      <c r="AXH104" s="450"/>
      <c r="AXI104" s="450"/>
      <c r="AXJ104" s="450"/>
      <c r="AXK104" s="450"/>
      <c r="AXL104" s="450"/>
      <c r="AXM104" s="450"/>
      <c r="AXN104" s="450"/>
      <c r="AXO104" s="450"/>
      <c r="AXP104" s="450"/>
      <c r="AXQ104" s="450"/>
      <c r="AXR104" s="450"/>
      <c r="AXS104" s="450"/>
      <c r="AXT104" s="450"/>
      <c r="AXU104" s="450"/>
      <c r="AXV104" s="450"/>
      <c r="AXW104" s="450"/>
      <c r="AXX104" s="450"/>
      <c r="AXY104" s="450"/>
      <c r="AXZ104" s="450"/>
      <c r="AYA104" s="450"/>
      <c r="AYB104" s="450"/>
      <c r="AYC104" s="450"/>
      <c r="AYD104" s="450"/>
      <c r="AYE104" s="450"/>
      <c r="AYF104" s="450"/>
      <c r="AYG104" s="450"/>
      <c r="AYH104" s="450"/>
      <c r="AYI104" s="450"/>
      <c r="AYJ104" s="450"/>
      <c r="AYK104" s="450"/>
      <c r="AYL104" s="450"/>
      <c r="AYM104" s="450"/>
      <c r="AYN104" s="450"/>
      <c r="AYO104" s="450"/>
      <c r="AYP104" s="450"/>
      <c r="AYQ104" s="450"/>
      <c r="AYR104" s="450"/>
      <c r="AYS104" s="450"/>
      <c r="AYT104" s="450"/>
      <c r="AYU104" s="450"/>
      <c r="AYV104" s="450"/>
      <c r="AYW104" s="450"/>
      <c r="AYX104" s="450"/>
      <c r="AYY104" s="450"/>
      <c r="AYZ104" s="450"/>
      <c r="AZA104" s="450"/>
      <c r="AZB104" s="450"/>
      <c r="AZC104" s="450"/>
      <c r="AZD104" s="450"/>
      <c r="AZE104" s="450"/>
      <c r="AZF104" s="450"/>
      <c r="AZG104" s="450"/>
      <c r="AZH104" s="450"/>
      <c r="AZI104" s="450"/>
      <c r="AZJ104" s="450"/>
      <c r="AZK104" s="450"/>
      <c r="AZL104" s="450"/>
      <c r="AZM104" s="450"/>
      <c r="AZN104" s="450"/>
      <c r="AZO104" s="450"/>
      <c r="AZP104" s="450"/>
      <c r="AZQ104" s="450"/>
      <c r="AZR104" s="450"/>
      <c r="AZS104" s="450"/>
      <c r="AZT104" s="450"/>
      <c r="AZU104" s="450"/>
      <c r="AZV104" s="450"/>
      <c r="AZW104" s="450"/>
      <c r="AZX104" s="450"/>
      <c r="AZY104" s="450"/>
      <c r="AZZ104" s="450"/>
      <c r="BAA104" s="450"/>
      <c r="BAB104" s="450"/>
      <c r="BAC104" s="450"/>
      <c r="BAD104" s="450"/>
      <c r="BAE104" s="450"/>
      <c r="BAF104" s="450"/>
      <c r="BAG104" s="450"/>
      <c r="BAH104" s="450"/>
      <c r="BAI104" s="450"/>
      <c r="BAJ104" s="450"/>
      <c r="BAK104" s="450"/>
      <c r="BAL104" s="450"/>
      <c r="BAM104" s="450"/>
      <c r="BAN104" s="450"/>
      <c r="BAO104" s="450"/>
      <c r="BAP104" s="450"/>
      <c r="BAQ104" s="450"/>
      <c r="BAR104" s="450"/>
      <c r="BAS104" s="450"/>
      <c r="BAT104" s="450"/>
      <c r="BAU104" s="450"/>
      <c r="BAV104" s="450"/>
      <c r="BAW104" s="450"/>
      <c r="BAX104" s="450"/>
      <c r="BAY104" s="450"/>
      <c r="BAZ104" s="450"/>
      <c r="BBA104" s="450"/>
      <c r="BBB104" s="450"/>
      <c r="BBC104" s="450"/>
      <c r="BBD104" s="450"/>
      <c r="BBE104" s="450"/>
      <c r="BBF104" s="450"/>
      <c r="BBG104" s="450"/>
      <c r="BBH104" s="450"/>
      <c r="BBI104" s="450"/>
      <c r="BBJ104" s="450"/>
      <c r="BBK104" s="450"/>
      <c r="BBL104" s="450"/>
      <c r="BBM104" s="450"/>
      <c r="BBN104" s="450"/>
      <c r="BBO104" s="450"/>
      <c r="BBP104" s="450"/>
      <c r="BBQ104" s="450"/>
      <c r="BBR104" s="450"/>
      <c r="BBS104" s="450"/>
      <c r="BBT104" s="450"/>
      <c r="BBU104" s="450"/>
      <c r="BBV104" s="450"/>
      <c r="BBW104" s="450"/>
      <c r="BBX104" s="450"/>
      <c r="BBY104" s="450"/>
      <c r="BBZ104" s="450"/>
      <c r="BCA104" s="450"/>
      <c r="BCB104" s="450"/>
      <c r="BCC104" s="450"/>
      <c r="BCD104" s="450"/>
      <c r="BCE104" s="450"/>
      <c r="BCF104" s="450"/>
      <c r="BCG104" s="450"/>
      <c r="BCH104" s="450"/>
      <c r="BCI104" s="450"/>
      <c r="BCJ104" s="450"/>
      <c r="BCK104" s="450"/>
      <c r="BCL104" s="450"/>
      <c r="BCM104" s="450"/>
      <c r="BCN104" s="450"/>
      <c r="BCO104" s="450"/>
      <c r="BCP104" s="450"/>
      <c r="BCQ104" s="450"/>
      <c r="BCR104" s="450"/>
      <c r="BCS104" s="450"/>
      <c r="BCT104" s="450"/>
      <c r="BCU104" s="450"/>
      <c r="BCV104" s="450"/>
      <c r="BCW104" s="450"/>
      <c r="BCX104" s="450"/>
      <c r="BCY104" s="450"/>
      <c r="BCZ104" s="450"/>
      <c r="BDA104" s="450"/>
      <c r="BDB104" s="450"/>
      <c r="BDC104" s="450"/>
      <c r="BDD104" s="450"/>
      <c r="BDE104" s="450"/>
      <c r="BDF104" s="450"/>
      <c r="BDG104" s="450"/>
      <c r="BDH104" s="450"/>
      <c r="BDI104" s="450"/>
      <c r="BDJ104" s="450"/>
      <c r="BDK104" s="450"/>
      <c r="BDL104" s="450"/>
      <c r="BDM104" s="450"/>
      <c r="BDN104" s="450"/>
      <c r="BDO104" s="450"/>
      <c r="BDP104" s="450"/>
      <c r="BDQ104" s="450"/>
      <c r="BDR104" s="450"/>
      <c r="BDS104" s="450"/>
      <c r="BDT104" s="450"/>
      <c r="BDU104" s="450"/>
      <c r="BDV104" s="450"/>
      <c r="BDW104" s="450"/>
      <c r="BDX104" s="450"/>
      <c r="BDY104" s="450"/>
      <c r="BDZ104" s="450"/>
      <c r="BEA104" s="450"/>
      <c r="BEB104" s="450"/>
      <c r="BEC104" s="450"/>
      <c r="BED104" s="450"/>
      <c r="BEE104" s="450"/>
      <c r="BEF104" s="450"/>
      <c r="BEG104" s="450"/>
      <c r="BEH104" s="450"/>
      <c r="BEI104" s="450"/>
      <c r="BEJ104" s="450"/>
      <c r="BEK104" s="450"/>
      <c r="BEL104" s="450"/>
      <c r="BEM104" s="450"/>
      <c r="BEN104" s="450"/>
      <c r="BEO104" s="450"/>
      <c r="BEP104" s="450"/>
      <c r="BEQ104" s="450"/>
      <c r="BER104" s="450"/>
      <c r="BES104" s="450"/>
      <c r="BET104" s="450"/>
      <c r="BEU104" s="450"/>
      <c r="BEV104" s="450"/>
      <c r="BEW104" s="450"/>
      <c r="BEX104" s="450"/>
      <c r="BEY104" s="450"/>
      <c r="BEZ104" s="450"/>
      <c r="BFA104" s="450"/>
      <c r="BFB104" s="450"/>
      <c r="BFC104" s="450"/>
      <c r="BFD104" s="450"/>
      <c r="BFE104" s="450"/>
      <c r="BFF104" s="450"/>
      <c r="BFG104" s="450"/>
      <c r="BFH104" s="450"/>
      <c r="BFI104" s="450"/>
      <c r="BFJ104" s="450"/>
      <c r="BFK104" s="450"/>
      <c r="BFL104" s="450"/>
      <c r="BFM104" s="450"/>
      <c r="BFN104" s="450"/>
      <c r="BFO104" s="450"/>
      <c r="BFP104" s="450"/>
      <c r="BFQ104" s="450"/>
      <c r="BFR104" s="450"/>
      <c r="BFS104" s="450"/>
      <c r="BFT104" s="450"/>
      <c r="BFU104" s="450"/>
      <c r="BFV104" s="450"/>
      <c r="BFW104" s="450"/>
      <c r="BFX104" s="450"/>
      <c r="BFY104" s="450"/>
      <c r="BFZ104" s="450"/>
      <c r="BGA104" s="450"/>
      <c r="BGB104" s="450"/>
      <c r="BGC104" s="450"/>
      <c r="BGD104" s="450"/>
      <c r="BGE104" s="450"/>
      <c r="BGF104" s="450"/>
      <c r="BGG104" s="450"/>
      <c r="BGH104" s="450"/>
      <c r="BGI104" s="450"/>
      <c r="BGJ104" s="450"/>
      <c r="BGK104" s="450"/>
      <c r="BGL104" s="450"/>
      <c r="BGM104" s="450"/>
      <c r="BGN104" s="450"/>
      <c r="BGO104" s="450"/>
      <c r="BGP104" s="450"/>
      <c r="BGQ104" s="450"/>
      <c r="BGR104" s="450"/>
      <c r="BGS104" s="450"/>
      <c r="BGT104" s="450"/>
      <c r="BGU104" s="450"/>
      <c r="BGV104" s="450"/>
      <c r="BGW104" s="450"/>
      <c r="BGX104" s="450"/>
      <c r="BGY104" s="450"/>
      <c r="BGZ104" s="450"/>
      <c r="BHA104" s="450"/>
      <c r="BHB104" s="450"/>
      <c r="BHC104" s="450"/>
      <c r="BHD104" s="450"/>
      <c r="BHE104" s="450"/>
      <c r="BHF104" s="450"/>
      <c r="BHG104" s="450"/>
      <c r="BHH104" s="450"/>
      <c r="BHI104" s="450"/>
      <c r="BHJ104" s="450"/>
      <c r="BHK104" s="450"/>
      <c r="BHL104" s="450"/>
      <c r="BHM104" s="450"/>
      <c r="BHN104" s="450"/>
      <c r="BHO104" s="450"/>
      <c r="BHP104" s="450"/>
      <c r="BHQ104" s="450"/>
      <c r="BHR104" s="450"/>
      <c r="BHS104" s="450"/>
      <c r="BHT104" s="450"/>
      <c r="BHU104" s="450"/>
      <c r="BHV104" s="450"/>
      <c r="BHW104" s="450"/>
      <c r="BHX104" s="450"/>
      <c r="BHY104" s="450"/>
      <c r="BHZ104" s="450"/>
      <c r="BIA104" s="450"/>
      <c r="BIB104" s="450"/>
      <c r="BIC104" s="450"/>
      <c r="BID104" s="450"/>
      <c r="BIE104" s="450"/>
      <c r="BIF104" s="450"/>
      <c r="BIG104" s="450"/>
      <c r="BIH104" s="450"/>
      <c r="BII104" s="450"/>
      <c r="BIJ104" s="450"/>
      <c r="BIK104" s="450"/>
      <c r="BIL104" s="450"/>
      <c r="BIM104" s="450"/>
      <c r="BIN104" s="450"/>
      <c r="BIO104" s="450"/>
      <c r="BIP104" s="450"/>
      <c r="BIQ104" s="450"/>
      <c r="BIR104" s="450"/>
      <c r="BIS104" s="450"/>
      <c r="BIT104" s="450"/>
      <c r="BIU104" s="450"/>
      <c r="BIV104" s="450"/>
      <c r="BIW104" s="450"/>
      <c r="BIX104" s="450"/>
      <c r="BIY104" s="450"/>
      <c r="BIZ104" s="450"/>
      <c r="BJA104" s="450"/>
      <c r="BJB104" s="450"/>
      <c r="BJC104" s="450"/>
      <c r="BJD104" s="450"/>
      <c r="BJE104" s="450"/>
      <c r="BJF104" s="450"/>
      <c r="BJG104" s="450"/>
      <c r="BJH104" s="450"/>
      <c r="BJI104" s="450"/>
      <c r="BJJ104" s="450"/>
      <c r="BJK104" s="450"/>
      <c r="BJL104" s="450"/>
      <c r="BJM104" s="450"/>
      <c r="BJN104" s="450"/>
      <c r="BJO104" s="450"/>
      <c r="BJP104" s="450"/>
      <c r="BJQ104" s="450"/>
      <c r="BJR104" s="450"/>
      <c r="BJS104" s="450"/>
      <c r="BJT104" s="450"/>
      <c r="BJU104" s="450"/>
      <c r="BJV104" s="450"/>
      <c r="BJW104" s="450"/>
      <c r="BJX104" s="450"/>
      <c r="BJY104" s="450"/>
      <c r="BJZ104" s="450"/>
      <c r="BKA104" s="450"/>
      <c r="BKB104" s="450"/>
      <c r="BKC104" s="450"/>
      <c r="BKD104" s="450"/>
      <c r="BKE104" s="450"/>
      <c r="BKF104" s="450"/>
      <c r="BKG104" s="450"/>
      <c r="BKH104" s="450"/>
      <c r="BKI104" s="450"/>
      <c r="BKJ104" s="450"/>
      <c r="BKK104" s="450"/>
      <c r="BKL104" s="450"/>
      <c r="BKM104" s="450"/>
      <c r="BKN104" s="450"/>
      <c r="BKO104" s="450"/>
      <c r="BKP104" s="450"/>
      <c r="BKQ104" s="450"/>
      <c r="BKR104" s="450"/>
      <c r="BKS104" s="450"/>
      <c r="BKT104" s="450"/>
      <c r="BKU104" s="450"/>
      <c r="BKV104" s="450"/>
      <c r="BKW104" s="450"/>
      <c r="BKX104" s="450"/>
      <c r="BKY104" s="450"/>
      <c r="BKZ104" s="450"/>
      <c r="BLA104" s="450"/>
      <c r="BLB104" s="450"/>
      <c r="BLC104" s="450"/>
      <c r="BLD104" s="450"/>
      <c r="BLE104" s="450"/>
      <c r="BLF104" s="450"/>
      <c r="BLG104" s="450"/>
      <c r="BLH104" s="450"/>
      <c r="BLI104" s="450"/>
      <c r="BLJ104" s="450"/>
      <c r="BLK104" s="450"/>
      <c r="BLL104" s="450"/>
      <c r="BLM104" s="450"/>
      <c r="BLN104" s="450"/>
      <c r="BLO104" s="450"/>
      <c r="BLP104" s="450"/>
      <c r="BLQ104" s="450"/>
      <c r="BLR104" s="450"/>
      <c r="BLS104" s="450"/>
      <c r="BLT104" s="450"/>
      <c r="BLU104" s="450"/>
      <c r="BLV104" s="450"/>
      <c r="BLW104" s="450"/>
      <c r="BLX104" s="450"/>
      <c r="BLY104" s="450"/>
      <c r="BLZ104" s="450"/>
      <c r="BMA104" s="450"/>
      <c r="BMB104" s="450"/>
      <c r="BMC104" s="450"/>
      <c r="BMD104" s="450"/>
      <c r="BME104" s="450"/>
      <c r="BMF104" s="450"/>
      <c r="BMG104" s="450"/>
      <c r="BMH104" s="450"/>
      <c r="BMI104" s="450"/>
      <c r="BMJ104" s="450"/>
      <c r="BMK104" s="450"/>
      <c r="BML104" s="450"/>
      <c r="BMM104" s="450"/>
      <c r="BMN104" s="450"/>
      <c r="BMO104" s="450"/>
      <c r="BMP104" s="450"/>
      <c r="BMQ104" s="450"/>
      <c r="BMR104" s="450"/>
      <c r="BMS104" s="450"/>
      <c r="BMT104" s="450"/>
      <c r="BMU104" s="450"/>
      <c r="BMV104" s="450"/>
      <c r="BMW104" s="450"/>
      <c r="BMX104" s="450"/>
      <c r="BMY104" s="450"/>
      <c r="BMZ104" s="450"/>
      <c r="BNA104" s="450"/>
      <c r="BNB104" s="450"/>
      <c r="BNC104" s="450"/>
      <c r="BND104" s="450"/>
      <c r="BNE104" s="450"/>
      <c r="BNF104" s="450"/>
      <c r="BNG104" s="450"/>
      <c r="BNH104" s="450"/>
      <c r="BNI104" s="450"/>
      <c r="BNJ104" s="450"/>
      <c r="BNK104" s="450"/>
      <c r="BNL104" s="450"/>
      <c r="BNM104" s="450"/>
      <c r="BNN104" s="450"/>
      <c r="BNO104" s="450"/>
      <c r="BNP104" s="450"/>
      <c r="BNQ104" s="450"/>
      <c r="BNR104" s="450"/>
      <c r="BNS104" s="450"/>
      <c r="BNT104" s="450"/>
      <c r="BNU104" s="450"/>
      <c r="BNV104" s="450"/>
      <c r="BNW104" s="450"/>
      <c r="BNX104" s="450"/>
      <c r="BNY104" s="450"/>
      <c r="BNZ104" s="450"/>
      <c r="BOA104" s="450"/>
      <c r="BOB104" s="450"/>
      <c r="BOC104" s="450"/>
      <c r="BOD104" s="450"/>
      <c r="BOE104" s="450"/>
      <c r="BOF104" s="450"/>
      <c r="BOG104" s="450"/>
      <c r="BOH104" s="450"/>
      <c r="BOI104" s="450"/>
      <c r="BOJ104" s="450"/>
      <c r="BOK104" s="450"/>
      <c r="BOL104" s="450"/>
      <c r="BOM104" s="450"/>
      <c r="BON104" s="450"/>
      <c r="BOO104" s="450"/>
      <c r="BOP104" s="450"/>
      <c r="BOQ104" s="450"/>
      <c r="BOR104" s="450"/>
      <c r="BOS104" s="450"/>
      <c r="BOT104" s="450"/>
      <c r="BOU104" s="450"/>
      <c r="BOV104" s="450"/>
      <c r="BOW104" s="450"/>
      <c r="BOX104" s="450"/>
      <c r="BOY104" s="450"/>
      <c r="BOZ104" s="450"/>
      <c r="BPA104" s="450"/>
      <c r="BPB104" s="450"/>
      <c r="BPC104" s="450"/>
      <c r="BPD104" s="450"/>
      <c r="BPE104" s="450"/>
      <c r="BPF104" s="450"/>
      <c r="BPG104" s="450"/>
      <c r="BPH104" s="450"/>
      <c r="BPI104" s="450"/>
      <c r="BPJ104" s="450"/>
      <c r="BPK104" s="450"/>
      <c r="BPL104" s="450"/>
      <c r="BPM104" s="450"/>
      <c r="BPN104" s="450"/>
      <c r="BPO104" s="450"/>
      <c r="BPP104" s="450"/>
      <c r="BPQ104" s="450"/>
      <c r="BPR104" s="450"/>
      <c r="BPS104" s="450"/>
      <c r="BPT104" s="450"/>
      <c r="BPU104" s="450"/>
      <c r="BPV104" s="450"/>
      <c r="BPW104" s="450"/>
      <c r="BPX104" s="450"/>
      <c r="BPY104" s="450"/>
      <c r="BPZ104" s="450"/>
      <c r="BQA104" s="450"/>
      <c r="BQB104" s="450"/>
      <c r="BQC104" s="450"/>
      <c r="BQD104" s="450"/>
      <c r="BQE104" s="450"/>
      <c r="BQF104" s="450"/>
      <c r="BQG104" s="450"/>
      <c r="BQH104" s="450"/>
      <c r="BQI104" s="450"/>
      <c r="BQJ104" s="450"/>
      <c r="BQK104" s="450"/>
      <c r="BQL104" s="450"/>
      <c r="BQM104" s="450"/>
      <c r="BQN104" s="450"/>
      <c r="BQO104" s="450"/>
      <c r="BQP104" s="450"/>
      <c r="BQQ104" s="450"/>
      <c r="BQR104" s="450"/>
      <c r="BQS104" s="450"/>
      <c r="BQT104" s="450"/>
      <c r="BQU104" s="450"/>
      <c r="BQV104" s="450"/>
      <c r="BQW104" s="450"/>
      <c r="BQX104" s="450"/>
      <c r="BQY104" s="450"/>
      <c r="BQZ104" s="450"/>
      <c r="BRA104" s="450"/>
      <c r="BRB104" s="450"/>
      <c r="BRC104" s="450"/>
      <c r="BRD104" s="450"/>
      <c r="BRE104" s="450"/>
      <c r="BRF104" s="450"/>
      <c r="BRG104" s="450"/>
      <c r="BRH104" s="450"/>
      <c r="BRI104" s="450"/>
      <c r="BRJ104" s="450"/>
      <c r="BRK104" s="450"/>
      <c r="BRL104" s="450"/>
      <c r="BRM104" s="450"/>
      <c r="BRN104" s="450"/>
      <c r="BRO104" s="450"/>
      <c r="BRP104" s="450"/>
      <c r="BRQ104" s="450"/>
      <c r="BRR104" s="450"/>
      <c r="BRS104" s="450"/>
      <c r="BRT104" s="450"/>
      <c r="BRU104" s="450"/>
      <c r="BRV104" s="450"/>
      <c r="BRW104" s="450"/>
      <c r="BRX104" s="450"/>
      <c r="BRY104" s="450"/>
      <c r="BRZ104" s="450"/>
      <c r="BSA104" s="450"/>
      <c r="BSB104" s="450"/>
      <c r="BSC104" s="450"/>
      <c r="BSD104" s="450"/>
      <c r="BSE104" s="450"/>
      <c r="BSF104" s="450"/>
      <c r="BSG104" s="450"/>
      <c r="BSH104" s="450"/>
      <c r="BSI104" s="450"/>
      <c r="BSJ104" s="450"/>
      <c r="BSK104" s="450"/>
      <c r="BSL104" s="450"/>
      <c r="BSM104" s="450"/>
      <c r="BSN104" s="450"/>
      <c r="BSO104" s="450"/>
      <c r="BSP104" s="450"/>
      <c r="BSQ104" s="450"/>
      <c r="BSR104" s="450"/>
      <c r="BSS104" s="450"/>
      <c r="BST104" s="450"/>
      <c r="BSU104" s="450"/>
      <c r="BSV104" s="450"/>
      <c r="BSW104" s="450"/>
      <c r="BSX104" s="450"/>
      <c r="BSY104" s="450"/>
      <c r="BSZ104" s="450"/>
      <c r="BTA104" s="450"/>
      <c r="BTB104" s="450"/>
      <c r="BTC104" s="450"/>
      <c r="BTD104" s="450"/>
      <c r="BTE104" s="450"/>
      <c r="BTF104" s="450"/>
      <c r="BTG104" s="450"/>
      <c r="BTH104" s="450"/>
      <c r="BTI104" s="450"/>
      <c r="BTJ104" s="450"/>
      <c r="BTK104" s="450"/>
      <c r="BTL104" s="450"/>
      <c r="BTM104" s="450"/>
      <c r="BTN104" s="450"/>
      <c r="BTO104" s="450"/>
      <c r="BTP104" s="450"/>
      <c r="BTQ104" s="450"/>
      <c r="BTR104" s="450"/>
      <c r="BTS104" s="450"/>
      <c r="BTT104" s="450"/>
      <c r="BTU104" s="450"/>
      <c r="BTV104" s="450"/>
      <c r="BTW104" s="450"/>
      <c r="BTX104" s="450"/>
      <c r="BTY104" s="450"/>
      <c r="BTZ104" s="450"/>
      <c r="BUA104" s="450"/>
      <c r="BUB104" s="450"/>
      <c r="BUC104" s="450"/>
      <c r="BUD104" s="450"/>
      <c r="BUE104" s="450"/>
      <c r="BUF104" s="450"/>
      <c r="BUG104" s="450"/>
      <c r="BUH104" s="450"/>
      <c r="BUI104" s="450"/>
      <c r="BUJ104" s="450"/>
      <c r="BUK104" s="450"/>
      <c r="BUL104" s="450"/>
      <c r="BUM104" s="450"/>
      <c r="BUN104" s="450"/>
      <c r="BUO104" s="450"/>
      <c r="BUP104" s="450"/>
      <c r="BUQ104" s="450"/>
      <c r="BUR104" s="450"/>
      <c r="BUS104" s="450"/>
      <c r="BUT104" s="450"/>
      <c r="BUU104" s="450"/>
      <c r="BUV104" s="450"/>
      <c r="BUW104" s="450"/>
      <c r="BUX104" s="450"/>
      <c r="BUY104" s="450"/>
      <c r="BUZ104" s="450"/>
      <c r="BVA104" s="450"/>
      <c r="BVB104" s="450"/>
      <c r="BVC104" s="450"/>
      <c r="BVD104" s="450"/>
      <c r="BVE104" s="450"/>
      <c r="BVF104" s="450"/>
      <c r="BVG104" s="450"/>
      <c r="BVH104" s="450"/>
      <c r="BVI104" s="450"/>
      <c r="BVJ104" s="450"/>
      <c r="BVK104" s="450"/>
      <c r="BVL104" s="450"/>
      <c r="BVM104" s="450"/>
      <c r="BVN104" s="450"/>
      <c r="BVO104" s="450"/>
      <c r="BVP104" s="450"/>
      <c r="BVQ104" s="450"/>
      <c r="BVR104" s="450"/>
      <c r="BVS104" s="450"/>
      <c r="BVT104" s="450"/>
      <c r="BVU104" s="450"/>
      <c r="BVV104" s="450"/>
      <c r="BVW104" s="450"/>
      <c r="BVX104" s="450"/>
      <c r="BVY104" s="450"/>
      <c r="BVZ104" s="450"/>
      <c r="BWA104" s="450"/>
      <c r="BWB104" s="450"/>
      <c r="BWC104" s="450"/>
      <c r="BWD104" s="450"/>
      <c r="BWE104" s="450"/>
      <c r="BWF104" s="450"/>
      <c r="BWG104" s="450"/>
      <c r="BWH104" s="450"/>
      <c r="BWI104" s="450"/>
      <c r="BWJ104" s="450"/>
      <c r="BWK104" s="450"/>
      <c r="BWL104" s="450"/>
      <c r="BWM104" s="450"/>
      <c r="BWN104" s="450"/>
      <c r="BWO104" s="450"/>
      <c r="BWP104" s="450"/>
      <c r="BWQ104" s="450"/>
      <c r="BWR104" s="450"/>
      <c r="BWS104" s="450"/>
      <c r="BWT104" s="450"/>
      <c r="BWU104" s="450"/>
      <c r="BWV104" s="450"/>
      <c r="BWW104" s="450"/>
      <c r="BWX104" s="450"/>
      <c r="BWY104" s="450"/>
      <c r="BWZ104" s="450"/>
      <c r="BXA104" s="450"/>
      <c r="BXB104" s="450"/>
      <c r="BXC104" s="450"/>
      <c r="BXD104" s="450"/>
      <c r="BXE104" s="450"/>
      <c r="BXF104" s="450"/>
      <c r="BXG104" s="450"/>
      <c r="BXH104" s="450"/>
      <c r="BXI104" s="450"/>
      <c r="BXJ104" s="450"/>
      <c r="BXK104" s="450"/>
      <c r="BXL104" s="450"/>
      <c r="BXM104" s="450"/>
      <c r="BXN104" s="450"/>
      <c r="BXO104" s="450"/>
      <c r="BXP104" s="450"/>
      <c r="BXQ104" s="450"/>
      <c r="BXR104" s="450"/>
      <c r="BXS104" s="450"/>
      <c r="BXT104" s="450"/>
      <c r="BXU104" s="450"/>
      <c r="BXV104" s="450"/>
      <c r="BXW104" s="450"/>
      <c r="BXX104" s="450"/>
      <c r="BXY104" s="450"/>
      <c r="BXZ104" s="450"/>
      <c r="BYA104" s="450"/>
      <c r="BYB104" s="450"/>
      <c r="BYC104" s="450"/>
      <c r="BYD104" s="450"/>
      <c r="BYE104" s="450"/>
      <c r="BYF104" s="450"/>
      <c r="BYG104" s="450"/>
      <c r="BYH104" s="450"/>
      <c r="BYI104" s="450"/>
      <c r="BYJ104" s="450"/>
      <c r="BYK104" s="450"/>
      <c r="BYL104" s="450"/>
      <c r="BYM104" s="450"/>
      <c r="BYN104" s="450"/>
      <c r="BYO104" s="450"/>
      <c r="BYP104" s="450"/>
      <c r="BYQ104" s="450"/>
      <c r="BYR104" s="450"/>
      <c r="BYS104" s="450"/>
      <c r="BYT104" s="450"/>
      <c r="BYU104" s="450"/>
      <c r="BYV104" s="450"/>
      <c r="BYW104" s="450"/>
      <c r="BYX104" s="450"/>
      <c r="BYY104" s="450"/>
      <c r="BYZ104" s="450"/>
      <c r="BZA104" s="450"/>
      <c r="BZB104" s="450"/>
      <c r="BZC104" s="450"/>
      <c r="BZD104" s="450"/>
      <c r="BZE104" s="450"/>
      <c r="BZF104" s="450"/>
      <c r="BZG104" s="450"/>
      <c r="BZH104" s="450"/>
      <c r="BZI104" s="450"/>
      <c r="BZJ104" s="450"/>
      <c r="BZK104" s="450"/>
      <c r="BZL104" s="450"/>
      <c r="BZM104" s="450"/>
      <c r="BZN104" s="450"/>
      <c r="BZO104" s="450"/>
      <c r="BZP104" s="450"/>
      <c r="BZQ104" s="450"/>
      <c r="BZR104" s="450"/>
      <c r="BZS104" s="450"/>
      <c r="BZT104" s="450"/>
      <c r="BZU104" s="450"/>
      <c r="BZV104" s="450"/>
      <c r="BZW104" s="450"/>
      <c r="BZX104" s="450"/>
      <c r="BZY104" s="450"/>
      <c r="BZZ104" s="450"/>
      <c r="CAA104" s="450"/>
      <c r="CAB104" s="450"/>
      <c r="CAC104" s="450"/>
      <c r="CAD104" s="450"/>
      <c r="CAE104" s="450"/>
      <c r="CAF104" s="450"/>
      <c r="CAG104" s="450"/>
      <c r="CAH104" s="450"/>
      <c r="CAI104" s="450"/>
      <c r="CAJ104" s="450"/>
      <c r="CAK104" s="450"/>
      <c r="CAL104" s="450"/>
      <c r="CAM104" s="450"/>
      <c r="CAN104" s="450"/>
      <c r="CAO104" s="450"/>
      <c r="CAP104" s="450"/>
      <c r="CAQ104" s="450"/>
      <c r="CAR104" s="450"/>
      <c r="CAS104" s="450"/>
      <c r="CAT104" s="450"/>
      <c r="CAU104" s="450"/>
      <c r="CAV104" s="450"/>
      <c r="CAW104" s="450"/>
      <c r="CAX104" s="450"/>
      <c r="CAY104" s="450"/>
      <c r="CAZ104" s="450"/>
      <c r="CBA104" s="450"/>
      <c r="CBB104" s="450"/>
      <c r="CBC104" s="450"/>
      <c r="CBD104" s="450"/>
      <c r="CBE104" s="450"/>
      <c r="CBF104" s="450"/>
      <c r="CBG104" s="450"/>
      <c r="CBH104" s="450"/>
      <c r="CBI104" s="450"/>
      <c r="CBJ104" s="450"/>
      <c r="CBK104" s="450"/>
      <c r="CBL104" s="450"/>
      <c r="CBM104" s="450"/>
      <c r="CBN104" s="450"/>
      <c r="CBO104" s="450"/>
      <c r="CBP104" s="450"/>
      <c r="CBQ104" s="450"/>
      <c r="CBR104" s="450"/>
      <c r="CBS104" s="450"/>
      <c r="CBT104" s="450"/>
      <c r="CBU104" s="450"/>
      <c r="CBV104" s="450"/>
      <c r="CBW104" s="450"/>
      <c r="CBX104" s="450"/>
      <c r="CBY104" s="450"/>
      <c r="CBZ104" s="450"/>
      <c r="CCA104" s="450"/>
      <c r="CCB104" s="450"/>
      <c r="CCC104" s="450"/>
      <c r="CCD104" s="450"/>
      <c r="CCE104" s="450"/>
      <c r="CCF104" s="450"/>
      <c r="CCG104" s="450"/>
      <c r="CCH104" s="450"/>
      <c r="CCI104" s="450"/>
      <c r="CCJ104" s="450"/>
      <c r="CCK104" s="450"/>
      <c r="CCL104" s="450"/>
      <c r="CCM104" s="450"/>
      <c r="CCN104" s="450"/>
      <c r="CCO104" s="450"/>
      <c r="CCP104" s="450"/>
      <c r="CCQ104" s="450"/>
      <c r="CCR104" s="450"/>
      <c r="CCS104" s="450"/>
      <c r="CCT104" s="450"/>
      <c r="CCU104" s="450"/>
      <c r="CCV104" s="450"/>
      <c r="CCW104" s="450"/>
      <c r="CCX104" s="450"/>
      <c r="CCY104" s="450"/>
      <c r="CCZ104" s="450"/>
      <c r="CDA104" s="450"/>
      <c r="CDB104" s="450"/>
      <c r="CDC104" s="450"/>
      <c r="CDD104" s="450"/>
      <c r="CDE104" s="450"/>
      <c r="CDF104" s="450"/>
      <c r="CDG104" s="450"/>
      <c r="CDH104" s="450"/>
      <c r="CDI104" s="450"/>
      <c r="CDJ104" s="450"/>
      <c r="CDK104" s="450"/>
      <c r="CDL104" s="450"/>
      <c r="CDM104" s="450"/>
      <c r="CDN104" s="450"/>
      <c r="CDO104" s="450"/>
      <c r="CDP104" s="450"/>
      <c r="CDQ104" s="450"/>
      <c r="CDR104" s="450"/>
      <c r="CDS104" s="450"/>
      <c r="CDT104" s="450"/>
      <c r="CDU104" s="450"/>
      <c r="CDV104" s="450"/>
      <c r="CDW104" s="450"/>
      <c r="CDX104" s="450"/>
      <c r="CDY104" s="450"/>
      <c r="CDZ104" s="450"/>
      <c r="CEA104" s="450"/>
      <c r="CEB104" s="450"/>
      <c r="CEC104" s="450"/>
      <c r="CED104" s="450"/>
      <c r="CEE104" s="450"/>
      <c r="CEF104" s="450"/>
      <c r="CEG104" s="450"/>
      <c r="CEH104" s="450"/>
      <c r="CEI104" s="450"/>
      <c r="CEJ104" s="450"/>
      <c r="CEK104" s="450"/>
      <c r="CEL104" s="450"/>
      <c r="CEM104" s="450"/>
      <c r="CEN104" s="450"/>
      <c r="CEO104" s="450"/>
      <c r="CEP104" s="450"/>
      <c r="CEQ104" s="450"/>
      <c r="CER104" s="450"/>
      <c r="CES104" s="450"/>
      <c r="CET104" s="450"/>
      <c r="CEU104" s="450"/>
      <c r="CEV104" s="450"/>
      <c r="CEW104" s="450"/>
      <c r="CEX104" s="450"/>
      <c r="CEY104" s="450"/>
      <c r="CEZ104" s="450"/>
      <c r="CFA104" s="450"/>
      <c r="CFB104" s="450"/>
      <c r="CFC104" s="450"/>
      <c r="CFD104" s="450"/>
      <c r="CFE104" s="450"/>
      <c r="CFF104" s="450"/>
      <c r="CFG104" s="450"/>
      <c r="CFH104" s="450"/>
      <c r="CFI104" s="450"/>
      <c r="CFJ104" s="450"/>
      <c r="CFK104" s="450"/>
      <c r="CFL104" s="450"/>
      <c r="CFM104" s="450"/>
      <c r="CFN104" s="450"/>
      <c r="CFO104" s="450"/>
      <c r="CFP104" s="450"/>
      <c r="CFQ104" s="450"/>
      <c r="CFR104" s="450"/>
      <c r="CFS104" s="450"/>
      <c r="CFT104" s="450"/>
      <c r="CFU104" s="450"/>
      <c r="CFV104" s="450"/>
      <c r="CFW104" s="450"/>
      <c r="CFX104" s="450"/>
      <c r="CFY104" s="450"/>
      <c r="CFZ104" s="450"/>
      <c r="CGA104" s="450"/>
      <c r="CGB104" s="450"/>
      <c r="CGC104" s="450"/>
      <c r="CGD104" s="450"/>
      <c r="CGE104" s="450"/>
      <c r="CGF104" s="450"/>
      <c r="CGG104" s="450"/>
      <c r="CGH104" s="450"/>
      <c r="CGI104" s="450"/>
      <c r="CGJ104" s="450"/>
      <c r="CGK104" s="450"/>
      <c r="CGL104" s="450"/>
      <c r="CGM104" s="450"/>
      <c r="CGN104" s="450"/>
      <c r="CGO104" s="450"/>
      <c r="CGP104" s="450"/>
      <c r="CGQ104" s="450"/>
      <c r="CGR104" s="450"/>
      <c r="CGS104" s="450"/>
      <c r="CGT104" s="450"/>
      <c r="CGU104" s="450"/>
      <c r="CGV104" s="450"/>
      <c r="CGW104" s="450"/>
      <c r="CGX104" s="450"/>
      <c r="CGY104" s="450"/>
      <c r="CGZ104" s="450"/>
      <c r="CHA104" s="450"/>
      <c r="CHB104" s="450"/>
      <c r="CHC104" s="450"/>
      <c r="CHD104" s="450"/>
      <c r="CHE104" s="450"/>
      <c r="CHF104" s="450"/>
      <c r="CHG104" s="450"/>
      <c r="CHH104" s="450"/>
      <c r="CHI104" s="450"/>
      <c r="CHJ104" s="450"/>
      <c r="CHK104" s="450"/>
      <c r="CHL104" s="450"/>
      <c r="CHM104" s="450"/>
      <c r="CHN104" s="450"/>
      <c r="CHO104" s="450"/>
      <c r="CHP104" s="450"/>
      <c r="CHQ104" s="450"/>
      <c r="CHR104" s="450"/>
      <c r="CHS104" s="450"/>
      <c r="CHT104" s="450"/>
      <c r="CHU104" s="450"/>
      <c r="CHV104" s="450"/>
      <c r="CHW104" s="450"/>
      <c r="CHX104" s="450"/>
      <c r="CHY104" s="450"/>
      <c r="CHZ104" s="450"/>
      <c r="CIA104" s="450"/>
      <c r="CIB104" s="450"/>
      <c r="CIC104" s="450"/>
      <c r="CID104" s="450"/>
      <c r="CIE104" s="450"/>
      <c r="CIF104" s="450"/>
      <c r="CIG104" s="450"/>
      <c r="CIH104" s="450"/>
      <c r="CII104" s="450"/>
      <c r="CIJ104" s="450"/>
      <c r="CIK104" s="450"/>
      <c r="CIL104" s="450"/>
      <c r="CIM104" s="450"/>
      <c r="CIN104" s="450"/>
      <c r="CIO104" s="450"/>
      <c r="CIP104" s="450"/>
      <c r="CIQ104" s="450"/>
      <c r="CIR104" s="450"/>
      <c r="CIS104" s="450"/>
      <c r="CIT104" s="450"/>
      <c r="CIU104" s="450"/>
      <c r="CIV104" s="450"/>
      <c r="CIW104" s="450"/>
      <c r="CIX104" s="450"/>
      <c r="CIY104" s="450"/>
      <c r="CIZ104" s="450"/>
      <c r="CJA104" s="450"/>
      <c r="CJB104" s="450"/>
      <c r="CJC104" s="450"/>
      <c r="CJD104" s="450"/>
      <c r="CJE104" s="450"/>
      <c r="CJF104" s="450"/>
      <c r="CJG104" s="450"/>
      <c r="CJH104" s="450"/>
      <c r="CJI104" s="450"/>
      <c r="CJJ104" s="450"/>
      <c r="CJK104" s="450"/>
      <c r="CJL104" s="450"/>
      <c r="CJM104" s="450"/>
      <c r="CJN104" s="450"/>
      <c r="CJO104" s="450"/>
      <c r="CJP104" s="450"/>
      <c r="CJQ104" s="450"/>
      <c r="CJR104" s="450"/>
      <c r="CJS104" s="450"/>
      <c r="CJT104" s="450"/>
      <c r="CJU104" s="450"/>
      <c r="CJV104" s="450"/>
      <c r="CJW104" s="450"/>
      <c r="CJX104" s="450"/>
      <c r="CJY104" s="450"/>
      <c r="CJZ104" s="450"/>
      <c r="CKA104" s="450"/>
      <c r="CKB104" s="450"/>
      <c r="CKC104" s="450"/>
      <c r="CKD104" s="450"/>
      <c r="CKE104" s="450"/>
      <c r="CKF104" s="450"/>
      <c r="CKG104" s="450"/>
      <c r="CKH104" s="450"/>
      <c r="CKI104" s="450"/>
      <c r="CKJ104" s="450"/>
      <c r="CKK104" s="450"/>
      <c r="CKL104" s="450"/>
      <c r="CKM104" s="450"/>
      <c r="CKN104" s="450"/>
      <c r="CKO104" s="450"/>
      <c r="CKP104" s="450"/>
      <c r="CKQ104" s="450"/>
      <c r="CKR104" s="450"/>
      <c r="CKS104" s="450"/>
      <c r="CKT104" s="450"/>
      <c r="CKU104" s="450"/>
      <c r="CKV104" s="450"/>
      <c r="CKW104" s="450"/>
      <c r="CKX104" s="450"/>
      <c r="CKY104" s="450"/>
      <c r="CKZ104" s="450"/>
      <c r="CLA104" s="450"/>
      <c r="CLB104" s="450"/>
      <c r="CLC104" s="450"/>
      <c r="CLD104" s="450"/>
      <c r="CLE104" s="450"/>
      <c r="CLF104" s="450"/>
      <c r="CLG104" s="450"/>
      <c r="CLH104" s="450"/>
      <c r="CLI104" s="450"/>
      <c r="CLJ104" s="450"/>
      <c r="CLK104" s="450"/>
      <c r="CLL104" s="450"/>
      <c r="CLM104" s="450"/>
      <c r="CLN104" s="450"/>
      <c r="CLO104" s="450"/>
      <c r="CLP104" s="450"/>
      <c r="CLQ104" s="450"/>
      <c r="CLR104" s="450"/>
      <c r="CLS104" s="450"/>
      <c r="CLT104" s="450"/>
      <c r="CLU104" s="450"/>
      <c r="CLV104" s="450"/>
      <c r="CLW104" s="450"/>
      <c r="CLX104" s="450"/>
      <c r="CLY104" s="450"/>
      <c r="CLZ104" s="450"/>
      <c r="CMA104" s="450"/>
      <c r="CMB104" s="450"/>
      <c r="CMC104" s="450"/>
      <c r="CMD104" s="450"/>
      <c r="CME104" s="450"/>
      <c r="CMF104" s="450"/>
      <c r="CMG104" s="450"/>
      <c r="CMH104" s="450"/>
      <c r="CMI104" s="450"/>
      <c r="CMJ104" s="450"/>
      <c r="CMK104" s="450"/>
      <c r="CML104" s="450"/>
      <c r="CMM104" s="450"/>
      <c r="CMN104" s="450"/>
      <c r="CMO104" s="450"/>
      <c r="CMP104" s="450"/>
      <c r="CMQ104" s="450"/>
      <c r="CMR104" s="450"/>
      <c r="CMS104" s="450"/>
      <c r="CMT104" s="450"/>
      <c r="CMU104" s="450"/>
      <c r="CMV104" s="450"/>
      <c r="CMW104" s="450"/>
      <c r="CMX104" s="450"/>
      <c r="CMY104" s="450"/>
      <c r="CMZ104" s="450"/>
      <c r="CNA104" s="450"/>
      <c r="CNB104" s="450"/>
      <c r="CNC104" s="450"/>
      <c r="CND104" s="450"/>
      <c r="CNE104" s="450"/>
      <c r="CNF104" s="450"/>
      <c r="CNG104" s="450"/>
      <c r="CNH104" s="450"/>
      <c r="CNI104" s="450"/>
      <c r="CNJ104" s="450"/>
      <c r="CNK104" s="450"/>
      <c r="CNL104" s="450"/>
      <c r="CNM104" s="450"/>
      <c r="CNN104" s="450"/>
      <c r="CNO104" s="450"/>
      <c r="CNP104" s="450"/>
      <c r="CNQ104" s="450"/>
      <c r="CNR104" s="450"/>
      <c r="CNS104" s="450"/>
      <c r="CNT104" s="450"/>
      <c r="CNU104" s="450"/>
      <c r="CNV104" s="450"/>
      <c r="CNW104" s="450"/>
      <c r="CNX104" s="450"/>
      <c r="CNY104" s="450"/>
      <c r="CNZ104" s="450"/>
      <c r="COA104" s="450"/>
      <c r="COB104" s="450"/>
      <c r="COC104" s="450"/>
      <c r="COD104" s="450"/>
      <c r="COE104" s="450"/>
      <c r="COF104" s="450"/>
      <c r="COG104" s="450"/>
      <c r="COH104" s="450"/>
      <c r="COI104" s="450"/>
      <c r="COJ104" s="450"/>
      <c r="COK104" s="450"/>
      <c r="COL104" s="450"/>
      <c r="COM104" s="450"/>
      <c r="CON104" s="450"/>
      <c r="COO104" s="450"/>
      <c r="COP104" s="450"/>
      <c r="COQ104" s="450"/>
      <c r="COR104" s="450"/>
      <c r="COS104" s="450"/>
      <c r="COT104" s="450"/>
      <c r="COU104" s="450"/>
      <c r="COV104" s="450"/>
      <c r="COW104" s="450"/>
      <c r="COX104" s="450"/>
      <c r="COY104" s="450"/>
      <c r="COZ104" s="450"/>
      <c r="CPA104" s="450"/>
      <c r="CPB104" s="450"/>
      <c r="CPC104" s="450"/>
      <c r="CPD104" s="450"/>
      <c r="CPE104" s="450"/>
      <c r="CPF104" s="450"/>
      <c r="CPG104" s="450"/>
      <c r="CPH104" s="450"/>
      <c r="CPI104" s="450"/>
      <c r="CPJ104" s="450"/>
      <c r="CPK104" s="450"/>
      <c r="CPL104" s="450"/>
      <c r="CPM104" s="450"/>
      <c r="CPN104" s="450"/>
      <c r="CPO104" s="450"/>
      <c r="CPP104" s="450"/>
      <c r="CPQ104" s="450"/>
      <c r="CPR104" s="450"/>
      <c r="CPS104" s="450"/>
      <c r="CPT104" s="450"/>
      <c r="CPU104" s="450"/>
      <c r="CPV104" s="450"/>
      <c r="CPW104" s="450"/>
      <c r="CPX104" s="450"/>
      <c r="CPY104" s="450"/>
      <c r="CPZ104" s="450"/>
      <c r="CQA104" s="450"/>
      <c r="CQB104" s="450"/>
      <c r="CQC104" s="450"/>
      <c r="CQD104" s="450"/>
      <c r="CQE104" s="450"/>
      <c r="CQF104" s="450"/>
      <c r="CQG104" s="450"/>
      <c r="CQH104" s="450"/>
      <c r="CQI104" s="450"/>
      <c r="CQJ104" s="450"/>
      <c r="CQK104" s="450"/>
      <c r="CQL104" s="450"/>
      <c r="CQM104" s="450"/>
      <c r="CQN104" s="450"/>
      <c r="CQO104" s="450"/>
      <c r="CQP104" s="450"/>
      <c r="CQQ104" s="450"/>
      <c r="CQR104" s="450"/>
      <c r="CQS104" s="450"/>
      <c r="CQT104" s="450"/>
      <c r="CQU104" s="450"/>
      <c r="CQV104" s="450"/>
      <c r="CQW104" s="450"/>
      <c r="CQX104" s="450"/>
      <c r="CQY104" s="450"/>
      <c r="CQZ104" s="450"/>
      <c r="CRA104" s="450"/>
      <c r="CRB104" s="450"/>
      <c r="CRC104" s="450"/>
      <c r="CRD104" s="450"/>
      <c r="CRE104" s="450"/>
      <c r="CRF104" s="450"/>
      <c r="CRG104" s="450"/>
      <c r="CRH104" s="450"/>
      <c r="CRI104" s="450"/>
      <c r="CRJ104" s="450"/>
      <c r="CRK104" s="450"/>
      <c r="CRL104" s="450"/>
      <c r="CRM104" s="450"/>
      <c r="CRN104" s="450"/>
      <c r="CRO104" s="450"/>
      <c r="CRP104" s="450"/>
      <c r="CRQ104" s="450"/>
      <c r="CRR104" s="450"/>
      <c r="CRS104" s="450"/>
      <c r="CRT104" s="450"/>
      <c r="CRU104" s="450"/>
      <c r="CRV104" s="450"/>
      <c r="CRW104" s="450"/>
      <c r="CRX104" s="450"/>
      <c r="CRY104" s="450"/>
      <c r="CRZ104" s="450"/>
      <c r="CSA104" s="450"/>
      <c r="CSB104" s="450"/>
      <c r="CSC104" s="450"/>
      <c r="CSD104" s="450"/>
      <c r="CSE104" s="450"/>
      <c r="CSF104" s="450"/>
      <c r="CSG104" s="450"/>
      <c r="CSH104" s="450"/>
      <c r="CSI104" s="450"/>
      <c r="CSJ104" s="450"/>
      <c r="CSK104" s="450"/>
      <c r="CSL104" s="450"/>
      <c r="CSM104" s="450"/>
      <c r="CSN104" s="450"/>
      <c r="CSO104" s="450"/>
      <c r="CSP104" s="450"/>
      <c r="CSQ104" s="450"/>
      <c r="CSR104" s="450"/>
      <c r="CSS104" s="450"/>
      <c r="CST104" s="450"/>
      <c r="CSU104" s="450"/>
      <c r="CSV104" s="450"/>
      <c r="CSW104" s="450"/>
      <c r="CSX104" s="450"/>
      <c r="CSY104" s="450"/>
      <c r="CSZ104" s="450"/>
      <c r="CTA104" s="450"/>
      <c r="CTB104" s="450"/>
      <c r="CTC104" s="450"/>
      <c r="CTD104" s="450"/>
      <c r="CTE104" s="450"/>
      <c r="CTF104" s="450"/>
      <c r="CTG104" s="450"/>
      <c r="CTH104" s="450"/>
      <c r="CTI104" s="450"/>
      <c r="CTJ104" s="450"/>
      <c r="CTK104" s="450"/>
      <c r="CTL104" s="450"/>
      <c r="CTM104" s="450"/>
      <c r="CTN104" s="450"/>
      <c r="CTO104" s="450"/>
      <c r="CTP104" s="450"/>
      <c r="CTQ104" s="450"/>
      <c r="CTR104" s="450"/>
      <c r="CTS104" s="450"/>
      <c r="CTT104" s="450"/>
      <c r="CTU104" s="450"/>
      <c r="CTV104" s="450"/>
      <c r="CTW104" s="450"/>
      <c r="CTX104" s="450"/>
      <c r="CTY104" s="450"/>
      <c r="CTZ104" s="450"/>
      <c r="CUA104" s="450"/>
      <c r="CUB104" s="450"/>
      <c r="CUC104" s="450"/>
      <c r="CUD104" s="450"/>
      <c r="CUE104" s="450"/>
      <c r="CUF104" s="450"/>
      <c r="CUG104" s="450"/>
      <c r="CUH104" s="450"/>
      <c r="CUI104" s="450"/>
      <c r="CUJ104" s="450"/>
      <c r="CUK104" s="450"/>
      <c r="CUL104" s="450"/>
      <c r="CUM104" s="450"/>
      <c r="CUN104" s="450"/>
      <c r="CUO104" s="450"/>
      <c r="CUP104" s="450"/>
      <c r="CUQ104" s="450"/>
      <c r="CUR104" s="450"/>
      <c r="CUS104" s="450"/>
      <c r="CUT104" s="450"/>
      <c r="CUU104" s="450"/>
      <c r="CUV104" s="450"/>
      <c r="CUW104" s="450"/>
      <c r="CUX104" s="450"/>
      <c r="CUY104" s="450"/>
      <c r="CUZ104" s="450"/>
      <c r="CVA104" s="450"/>
      <c r="CVB104" s="450"/>
      <c r="CVC104" s="450"/>
      <c r="CVD104" s="450"/>
      <c r="CVE104" s="450"/>
      <c r="CVF104" s="450"/>
      <c r="CVG104" s="450"/>
      <c r="CVH104" s="450"/>
      <c r="CVI104" s="450"/>
      <c r="CVJ104" s="450"/>
      <c r="CVK104" s="450"/>
      <c r="CVL104" s="450"/>
      <c r="CVM104" s="450"/>
      <c r="CVN104" s="450"/>
      <c r="CVO104" s="450"/>
      <c r="CVP104" s="450"/>
      <c r="CVQ104" s="450"/>
      <c r="CVR104" s="450"/>
      <c r="CVS104" s="450"/>
      <c r="CVT104" s="450"/>
      <c r="CVU104" s="450"/>
      <c r="CVV104" s="450"/>
      <c r="CVW104" s="450"/>
      <c r="CVX104" s="450"/>
      <c r="CVY104" s="450"/>
      <c r="CVZ104" s="450"/>
      <c r="CWA104" s="450"/>
      <c r="CWB104" s="450"/>
      <c r="CWC104" s="450"/>
      <c r="CWD104" s="450"/>
      <c r="CWE104" s="450"/>
      <c r="CWF104" s="450"/>
      <c r="CWG104" s="450"/>
      <c r="CWH104" s="450"/>
      <c r="CWI104" s="450"/>
      <c r="CWJ104" s="450"/>
      <c r="CWK104" s="450"/>
      <c r="CWL104" s="450"/>
      <c r="CWM104" s="450"/>
      <c r="CWN104" s="450"/>
      <c r="CWO104" s="450"/>
      <c r="CWP104" s="450"/>
      <c r="CWQ104" s="450"/>
      <c r="CWR104" s="450"/>
      <c r="CWS104" s="450"/>
      <c r="CWT104" s="450"/>
      <c r="CWU104" s="450"/>
      <c r="CWV104" s="450"/>
      <c r="CWW104" s="450"/>
      <c r="CWX104" s="450"/>
      <c r="CWY104" s="450"/>
      <c r="CWZ104" s="450"/>
      <c r="CXA104" s="450"/>
      <c r="CXB104" s="450"/>
      <c r="CXC104" s="450"/>
      <c r="CXD104" s="450"/>
      <c r="CXE104" s="450"/>
      <c r="CXF104" s="450"/>
      <c r="CXG104" s="450"/>
      <c r="CXH104" s="450"/>
      <c r="CXI104" s="450"/>
      <c r="CXJ104" s="450"/>
      <c r="CXK104" s="450"/>
      <c r="CXL104" s="450"/>
      <c r="CXM104" s="450"/>
      <c r="CXN104" s="450"/>
      <c r="CXO104" s="450"/>
      <c r="CXP104" s="450"/>
      <c r="CXQ104" s="450"/>
      <c r="CXR104" s="450"/>
      <c r="CXS104" s="450"/>
      <c r="CXT104" s="450"/>
      <c r="CXU104" s="450"/>
      <c r="CXV104" s="450"/>
      <c r="CXW104" s="450"/>
      <c r="CXX104" s="450"/>
      <c r="CXY104" s="450"/>
      <c r="CXZ104" s="450"/>
      <c r="CYA104" s="450"/>
      <c r="CYB104" s="450"/>
      <c r="CYC104" s="450"/>
      <c r="CYD104" s="450"/>
      <c r="CYE104" s="450"/>
      <c r="CYF104" s="450"/>
      <c r="CYG104" s="450"/>
      <c r="CYH104" s="450"/>
      <c r="CYI104" s="450"/>
      <c r="CYJ104" s="450"/>
      <c r="CYK104" s="450"/>
      <c r="CYL104" s="450"/>
      <c r="CYM104" s="450"/>
      <c r="CYN104" s="450"/>
      <c r="CYO104" s="450"/>
      <c r="CYP104" s="450"/>
      <c r="CYQ104" s="450"/>
      <c r="CYR104" s="450"/>
      <c r="CYS104" s="450"/>
      <c r="CYT104" s="450"/>
      <c r="CYU104" s="450"/>
      <c r="CYV104" s="450"/>
      <c r="CYW104" s="450"/>
      <c r="CYX104" s="450"/>
      <c r="CYY104" s="450"/>
      <c r="CYZ104" s="450"/>
      <c r="CZA104" s="450"/>
      <c r="CZB104" s="450"/>
      <c r="CZC104" s="450"/>
      <c r="CZD104" s="450"/>
      <c r="CZE104" s="450"/>
      <c r="CZF104" s="450"/>
      <c r="CZG104" s="450"/>
      <c r="CZH104" s="450"/>
      <c r="CZI104" s="450"/>
      <c r="CZJ104" s="450"/>
      <c r="CZK104" s="450"/>
      <c r="CZL104" s="450"/>
      <c r="CZM104" s="450"/>
      <c r="CZN104" s="450"/>
      <c r="CZO104" s="450"/>
      <c r="CZP104" s="450"/>
      <c r="CZQ104" s="450"/>
      <c r="CZR104" s="450"/>
      <c r="CZS104" s="450"/>
      <c r="CZT104" s="450"/>
      <c r="CZU104" s="450"/>
      <c r="CZV104" s="450"/>
      <c r="CZW104" s="450"/>
      <c r="CZX104" s="450"/>
      <c r="CZY104" s="450"/>
      <c r="CZZ104" s="450"/>
      <c r="DAA104" s="450"/>
      <c r="DAB104" s="450"/>
      <c r="DAC104" s="450"/>
      <c r="DAD104" s="450"/>
      <c r="DAE104" s="450"/>
      <c r="DAF104" s="450"/>
      <c r="DAG104" s="450"/>
      <c r="DAH104" s="450"/>
      <c r="DAI104" s="450"/>
      <c r="DAJ104" s="450"/>
      <c r="DAK104" s="450"/>
      <c r="DAL104" s="450"/>
      <c r="DAM104" s="450"/>
      <c r="DAN104" s="450"/>
      <c r="DAO104" s="450"/>
      <c r="DAP104" s="450"/>
      <c r="DAQ104" s="450"/>
      <c r="DAR104" s="450"/>
      <c r="DAS104" s="450"/>
      <c r="DAT104" s="450"/>
      <c r="DAU104" s="450"/>
      <c r="DAV104" s="450"/>
      <c r="DAW104" s="450"/>
      <c r="DAX104" s="450"/>
      <c r="DAY104" s="450"/>
      <c r="DAZ104" s="450"/>
      <c r="DBA104" s="450"/>
      <c r="DBB104" s="450"/>
      <c r="DBC104" s="450"/>
      <c r="DBD104" s="450"/>
      <c r="DBE104" s="450"/>
      <c r="DBF104" s="450"/>
      <c r="DBG104" s="450"/>
      <c r="DBH104" s="450"/>
      <c r="DBI104" s="450"/>
      <c r="DBJ104" s="450"/>
      <c r="DBK104" s="450"/>
      <c r="DBL104" s="450"/>
      <c r="DBM104" s="450"/>
      <c r="DBN104" s="450"/>
      <c r="DBO104" s="450"/>
      <c r="DBP104" s="450"/>
      <c r="DBQ104" s="450"/>
      <c r="DBR104" s="450"/>
      <c r="DBS104" s="450"/>
      <c r="DBT104" s="450"/>
      <c r="DBU104" s="450"/>
      <c r="DBV104" s="450"/>
      <c r="DBW104" s="450"/>
      <c r="DBX104" s="450"/>
      <c r="DBY104" s="450"/>
      <c r="DBZ104" s="450"/>
      <c r="DCA104" s="450"/>
      <c r="DCB104" s="450"/>
      <c r="DCC104" s="450"/>
      <c r="DCD104" s="450"/>
      <c r="DCE104" s="450"/>
      <c r="DCF104" s="450"/>
      <c r="DCG104" s="450"/>
      <c r="DCH104" s="450"/>
      <c r="DCI104" s="450"/>
      <c r="DCJ104" s="450"/>
      <c r="DCK104" s="450"/>
      <c r="DCL104" s="450"/>
      <c r="DCM104" s="450"/>
      <c r="DCN104" s="450"/>
      <c r="DCO104" s="450"/>
      <c r="DCP104" s="450"/>
      <c r="DCQ104" s="450"/>
      <c r="DCR104" s="450"/>
      <c r="DCS104" s="450"/>
      <c r="DCT104" s="450"/>
      <c r="DCU104" s="450"/>
      <c r="DCV104" s="450"/>
      <c r="DCW104" s="450"/>
      <c r="DCX104" s="450"/>
      <c r="DCY104" s="450"/>
      <c r="DCZ104" s="450"/>
      <c r="DDA104" s="450"/>
      <c r="DDB104" s="450"/>
      <c r="DDC104" s="450"/>
      <c r="DDD104" s="450"/>
      <c r="DDE104" s="450"/>
      <c r="DDF104" s="450"/>
      <c r="DDG104" s="450"/>
      <c r="DDH104" s="450"/>
      <c r="DDI104" s="450"/>
      <c r="DDJ104" s="450"/>
      <c r="DDK104" s="450"/>
      <c r="DDL104" s="450"/>
      <c r="DDM104" s="450"/>
      <c r="DDN104" s="450"/>
      <c r="DDO104" s="450"/>
      <c r="DDP104" s="450"/>
      <c r="DDQ104" s="450"/>
      <c r="DDR104" s="450"/>
      <c r="DDS104" s="450"/>
      <c r="DDT104" s="450"/>
      <c r="DDU104" s="450"/>
      <c r="DDV104" s="450"/>
      <c r="DDW104" s="450"/>
      <c r="DDX104" s="450"/>
      <c r="DDY104" s="450"/>
      <c r="DDZ104" s="450"/>
      <c r="DEA104" s="450"/>
      <c r="DEB104" s="450"/>
      <c r="DEC104" s="450"/>
      <c r="DED104" s="450"/>
      <c r="DEE104" s="450"/>
      <c r="DEF104" s="450"/>
      <c r="DEG104" s="450"/>
      <c r="DEH104" s="450"/>
      <c r="DEI104" s="450"/>
      <c r="DEJ104" s="450"/>
      <c r="DEK104" s="450"/>
      <c r="DEL104" s="450"/>
      <c r="DEM104" s="450"/>
      <c r="DEN104" s="450"/>
      <c r="DEO104" s="450"/>
      <c r="DEP104" s="450"/>
      <c r="DEQ104" s="450"/>
      <c r="DER104" s="450"/>
      <c r="DES104" s="450"/>
      <c r="DET104" s="450"/>
      <c r="DEU104" s="450"/>
      <c r="DEV104" s="450"/>
      <c r="DEW104" s="450"/>
      <c r="DEX104" s="450"/>
      <c r="DEY104" s="450"/>
      <c r="DEZ104" s="450"/>
      <c r="DFA104" s="450"/>
      <c r="DFB104" s="450"/>
      <c r="DFC104" s="450"/>
      <c r="DFD104" s="450"/>
      <c r="DFE104" s="450"/>
      <c r="DFF104" s="450"/>
      <c r="DFG104" s="450"/>
      <c r="DFH104" s="450"/>
      <c r="DFI104" s="450"/>
      <c r="DFJ104" s="450"/>
      <c r="DFK104" s="450"/>
      <c r="DFL104" s="450"/>
      <c r="DFM104" s="450"/>
      <c r="DFN104" s="450"/>
      <c r="DFO104" s="450"/>
      <c r="DFP104" s="450"/>
      <c r="DFQ104" s="450"/>
      <c r="DFR104" s="450"/>
      <c r="DFS104" s="450"/>
      <c r="DFT104" s="450"/>
      <c r="DFU104" s="450"/>
      <c r="DFV104" s="450"/>
      <c r="DFW104" s="450"/>
      <c r="DFX104" s="450"/>
      <c r="DFY104" s="450"/>
      <c r="DFZ104" s="450"/>
      <c r="DGA104" s="450"/>
      <c r="DGB104" s="450"/>
      <c r="DGC104" s="450"/>
      <c r="DGD104" s="450"/>
      <c r="DGE104" s="450"/>
      <c r="DGF104" s="450"/>
      <c r="DGG104" s="450"/>
      <c r="DGH104" s="450"/>
      <c r="DGI104" s="450"/>
      <c r="DGJ104" s="450"/>
      <c r="DGK104" s="450"/>
      <c r="DGL104" s="450"/>
      <c r="DGM104" s="450"/>
      <c r="DGN104" s="450"/>
      <c r="DGO104" s="450"/>
      <c r="DGP104" s="450"/>
      <c r="DGQ104" s="450"/>
      <c r="DGR104" s="450"/>
      <c r="DGS104" s="450"/>
      <c r="DGT104" s="450"/>
      <c r="DGU104" s="450"/>
      <c r="DGV104" s="450"/>
      <c r="DGW104" s="450"/>
      <c r="DGX104" s="450"/>
      <c r="DGY104" s="450"/>
      <c r="DGZ104" s="450"/>
      <c r="DHA104" s="450"/>
      <c r="DHB104" s="450"/>
      <c r="DHC104" s="450"/>
      <c r="DHD104" s="450"/>
      <c r="DHE104" s="450"/>
      <c r="DHF104" s="450"/>
      <c r="DHG104" s="450"/>
      <c r="DHH104" s="450"/>
      <c r="DHI104" s="450"/>
      <c r="DHJ104" s="450"/>
      <c r="DHK104" s="450"/>
      <c r="DHL104" s="450"/>
      <c r="DHM104" s="450"/>
      <c r="DHN104" s="450"/>
      <c r="DHO104" s="450"/>
      <c r="DHP104" s="450"/>
      <c r="DHQ104" s="450"/>
      <c r="DHR104" s="450"/>
      <c r="DHS104" s="450"/>
      <c r="DHT104" s="450"/>
      <c r="DHU104" s="450"/>
      <c r="DHV104" s="450"/>
      <c r="DHW104" s="450"/>
      <c r="DHX104" s="450"/>
      <c r="DHY104" s="450"/>
      <c r="DHZ104" s="450"/>
      <c r="DIA104" s="450"/>
      <c r="DIB104" s="450"/>
      <c r="DIC104" s="450"/>
      <c r="DID104" s="450"/>
      <c r="DIE104" s="450"/>
      <c r="DIF104" s="450"/>
      <c r="DIG104" s="450"/>
      <c r="DIH104" s="450"/>
      <c r="DII104" s="450"/>
      <c r="DIJ104" s="450"/>
      <c r="DIK104" s="450"/>
      <c r="DIL104" s="450"/>
      <c r="DIM104" s="450"/>
      <c r="DIN104" s="450"/>
      <c r="DIO104" s="450"/>
      <c r="DIP104" s="450"/>
      <c r="DIQ104" s="450"/>
      <c r="DIR104" s="450"/>
      <c r="DIS104" s="450"/>
      <c r="DIT104" s="450"/>
      <c r="DIU104" s="450"/>
      <c r="DIV104" s="450"/>
      <c r="DIW104" s="450"/>
      <c r="DIX104" s="450"/>
      <c r="DIY104" s="450"/>
      <c r="DIZ104" s="450"/>
      <c r="DJA104" s="450"/>
      <c r="DJB104" s="450"/>
      <c r="DJC104" s="450"/>
      <c r="DJD104" s="450"/>
      <c r="DJE104" s="450"/>
      <c r="DJF104" s="450"/>
      <c r="DJG104" s="450"/>
      <c r="DJH104" s="450"/>
      <c r="DJI104" s="450"/>
      <c r="DJJ104" s="450"/>
      <c r="DJK104" s="450"/>
      <c r="DJL104" s="450"/>
      <c r="DJM104" s="450"/>
      <c r="DJN104" s="450"/>
      <c r="DJO104" s="450"/>
      <c r="DJP104" s="450"/>
      <c r="DJQ104" s="450"/>
      <c r="DJR104" s="450"/>
      <c r="DJS104" s="450"/>
      <c r="DJT104" s="450"/>
      <c r="DJU104" s="450"/>
      <c r="DJV104" s="450"/>
      <c r="DJW104" s="450"/>
      <c r="DJX104" s="450"/>
      <c r="DJY104" s="450"/>
      <c r="DJZ104" s="450"/>
      <c r="DKA104" s="450"/>
      <c r="DKB104" s="450"/>
      <c r="DKC104" s="450"/>
      <c r="DKD104" s="450"/>
      <c r="DKE104" s="450"/>
      <c r="DKF104" s="450"/>
      <c r="DKG104" s="450"/>
      <c r="DKH104" s="450"/>
      <c r="DKI104" s="450"/>
      <c r="DKJ104" s="450"/>
      <c r="DKK104" s="450"/>
      <c r="DKL104" s="450"/>
      <c r="DKM104" s="450"/>
      <c r="DKN104" s="450"/>
      <c r="DKO104" s="450"/>
      <c r="DKP104" s="450"/>
      <c r="DKQ104" s="450"/>
      <c r="DKR104" s="450"/>
      <c r="DKS104" s="450"/>
      <c r="DKT104" s="450"/>
      <c r="DKU104" s="450"/>
      <c r="DKV104" s="450"/>
      <c r="DKW104" s="450"/>
      <c r="DKX104" s="450"/>
      <c r="DKY104" s="450"/>
      <c r="DKZ104" s="450"/>
      <c r="DLA104" s="450"/>
      <c r="DLB104" s="450"/>
      <c r="DLC104" s="450"/>
      <c r="DLD104" s="450"/>
      <c r="DLE104" s="450"/>
      <c r="DLF104" s="450"/>
      <c r="DLG104" s="450"/>
      <c r="DLH104" s="450"/>
      <c r="DLI104" s="450"/>
      <c r="DLJ104" s="450"/>
      <c r="DLK104" s="450"/>
      <c r="DLL104" s="450"/>
      <c r="DLM104" s="450"/>
      <c r="DLN104" s="450"/>
      <c r="DLO104" s="450"/>
      <c r="DLP104" s="450"/>
      <c r="DLQ104" s="450"/>
      <c r="DLR104" s="450"/>
      <c r="DLS104" s="450"/>
      <c r="DLT104" s="450"/>
      <c r="DLU104" s="450"/>
      <c r="DLV104" s="450"/>
      <c r="DLW104" s="450"/>
      <c r="DLX104" s="450"/>
      <c r="DLY104" s="450"/>
      <c r="DLZ104" s="450"/>
      <c r="DMA104" s="450"/>
      <c r="DMB104" s="450"/>
      <c r="DMC104" s="450"/>
      <c r="DMD104" s="450"/>
      <c r="DME104" s="450"/>
      <c r="DMF104" s="450"/>
      <c r="DMG104" s="450"/>
      <c r="DMH104" s="450"/>
      <c r="DMI104" s="450"/>
      <c r="DMJ104" s="450"/>
      <c r="DMK104" s="450"/>
      <c r="DML104" s="450"/>
      <c r="DMM104" s="450"/>
      <c r="DMN104" s="450"/>
      <c r="DMO104" s="450"/>
      <c r="DMP104" s="450"/>
      <c r="DMQ104" s="450"/>
      <c r="DMR104" s="450"/>
      <c r="DMS104" s="450"/>
      <c r="DMT104" s="450"/>
      <c r="DMU104" s="450"/>
      <c r="DMV104" s="450"/>
      <c r="DMW104" s="450"/>
      <c r="DMX104" s="450"/>
      <c r="DMY104" s="450"/>
      <c r="DMZ104" s="450"/>
      <c r="DNA104" s="450"/>
      <c r="DNB104" s="450"/>
      <c r="DNC104" s="450"/>
      <c r="DND104" s="450"/>
      <c r="DNE104" s="450"/>
      <c r="DNF104" s="450"/>
      <c r="DNG104" s="450"/>
      <c r="DNH104" s="450"/>
      <c r="DNI104" s="450"/>
      <c r="DNJ104" s="450"/>
      <c r="DNK104" s="450"/>
      <c r="DNL104" s="450"/>
      <c r="DNM104" s="450"/>
      <c r="DNN104" s="450"/>
      <c r="DNO104" s="450"/>
      <c r="DNP104" s="450"/>
      <c r="DNQ104" s="450"/>
      <c r="DNR104" s="450"/>
      <c r="DNS104" s="450"/>
      <c r="DNT104" s="450"/>
      <c r="DNU104" s="450"/>
      <c r="DNV104" s="450"/>
      <c r="DNW104" s="450"/>
      <c r="DNX104" s="450"/>
      <c r="DNY104" s="450"/>
      <c r="DNZ104" s="450"/>
      <c r="DOA104" s="450"/>
      <c r="DOB104" s="450"/>
      <c r="DOC104" s="450"/>
      <c r="DOD104" s="450"/>
      <c r="DOE104" s="450"/>
      <c r="DOF104" s="450"/>
      <c r="DOG104" s="450"/>
      <c r="DOH104" s="450"/>
      <c r="DOI104" s="450"/>
      <c r="DOJ104" s="450"/>
      <c r="DOK104" s="450"/>
      <c r="DOL104" s="450"/>
      <c r="DOM104" s="450"/>
      <c r="DON104" s="450"/>
      <c r="DOO104" s="450"/>
      <c r="DOP104" s="450"/>
      <c r="DOQ104" s="450"/>
      <c r="DOR104" s="450"/>
      <c r="DOS104" s="450"/>
      <c r="DOT104" s="450"/>
      <c r="DOU104" s="450"/>
      <c r="DOV104" s="450"/>
      <c r="DOW104" s="450"/>
      <c r="DOX104" s="450"/>
      <c r="DOY104" s="450"/>
      <c r="DOZ104" s="450"/>
      <c r="DPA104" s="450"/>
      <c r="DPB104" s="450"/>
      <c r="DPC104" s="450"/>
      <c r="DPD104" s="450"/>
      <c r="DPE104" s="450"/>
      <c r="DPF104" s="450"/>
      <c r="DPG104" s="450"/>
      <c r="DPH104" s="450"/>
      <c r="DPI104" s="450"/>
      <c r="DPJ104" s="450"/>
      <c r="DPK104" s="450"/>
      <c r="DPL104" s="450"/>
      <c r="DPM104" s="450"/>
      <c r="DPN104" s="450"/>
      <c r="DPO104" s="450"/>
      <c r="DPP104" s="450"/>
      <c r="DPQ104" s="450"/>
      <c r="DPR104" s="450"/>
      <c r="DPS104" s="450"/>
      <c r="DPT104" s="450"/>
      <c r="DPU104" s="450"/>
      <c r="DPV104" s="450"/>
      <c r="DPW104" s="450"/>
      <c r="DPX104" s="450"/>
      <c r="DPY104" s="450"/>
      <c r="DPZ104" s="450"/>
      <c r="DQA104" s="450"/>
      <c r="DQB104" s="450"/>
      <c r="DQC104" s="450"/>
      <c r="DQD104" s="450"/>
      <c r="DQE104" s="450"/>
      <c r="DQF104" s="450"/>
      <c r="DQG104" s="450"/>
      <c r="DQH104" s="450"/>
      <c r="DQI104" s="450"/>
      <c r="DQJ104" s="450"/>
      <c r="DQK104" s="450"/>
      <c r="DQL104" s="450"/>
      <c r="DQM104" s="450"/>
      <c r="DQN104" s="450"/>
      <c r="DQO104" s="450"/>
      <c r="DQP104" s="450"/>
      <c r="DQQ104" s="450"/>
      <c r="DQR104" s="450"/>
      <c r="DQS104" s="450"/>
      <c r="DQT104" s="450"/>
      <c r="DQU104" s="450"/>
      <c r="DQV104" s="450"/>
      <c r="DQW104" s="450"/>
      <c r="DQX104" s="450"/>
      <c r="DQY104" s="450"/>
      <c r="DQZ104" s="450"/>
      <c r="DRA104" s="450"/>
      <c r="DRB104" s="450"/>
      <c r="DRC104" s="450"/>
      <c r="DRD104" s="450"/>
      <c r="DRE104" s="450"/>
      <c r="DRF104" s="450"/>
      <c r="DRG104" s="450"/>
      <c r="DRH104" s="450"/>
      <c r="DRI104" s="450"/>
      <c r="DRJ104" s="450"/>
      <c r="DRK104" s="450"/>
      <c r="DRL104" s="450"/>
      <c r="DRM104" s="450"/>
      <c r="DRN104" s="450"/>
      <c r="DRO104" s="450"/>
      <c r="DRP104" s="450"/>
      <c r="DRQ104" s="450"/>
      <c r="DRR104" s="450"/>
      <c r="DRS104" s="450"/>
      <c r="DRT104" s="450"/>
      <c r="DRU104" s="450"/>
      <c r="DRV104" s="450"/>
      <c r="DRW104" s="450"/>
      <c r="DRX104" s="450"/>
      <c r="DRY104" s="450"/>
      <c r="DRZ104" s="450"/>
      <c r="DSA104" s="450"/>
      <c r="DSB104" s="450"/>
      <c r="DSC104" s="450"/>
      <c r="DSD104" s="450"/>
      <c r="DSE104" s="450"/>
      <c r="DSF104" s="450"/>
      <c r="DSG104" s="450"/>
      <c r="DSH104" s="450"/>
      <c r="DSI104" s="450"/>
      <c r="DSJ104" s="450"/>
      <c r="DSK104" s="450"/>
      <c r="DSL104" s="450"/>
      <c r="DSM104" s="450"/>
      <c r="DSN104" s="450"/>
      <c r="DSO104" s="450"/>
      <c r="DSP104" s="450"/>
      <c r="DSQ104" s="450"/>
      <c r="DSR104" s="450"/>
      <c r="DSS104" s="450"/>
      <c r="DST104" s="450"/>
      <c r="DSU104" s="450"/>
      <c r="DSV104" s="450"/>
      <c r="DSW104" s="450"/>
      <c r="DSX104" s="450"/>
      <c r="DSY104" s="450"/>
      <c r="DSZ104" s="450"/>
      <c r="DTA104" s="450"/>
      <c r="DTB104" s="450"/>
      <c r="DTC104" s="450"/>
      <c r="DTD104" s="450"/>
      <c r="DTE104" s="450"/>
      <c r="DTF104" s="450"/>
      <c r="DTG104" s="450"/>
      <c r="DTH104" s="450"/>
      <c r="DTI104" s="450"/>
      <c r="DTJ104" s="450"/>
      <c r="DTK104" s="450"/>
      <c r="DTL104" s="450"/>
      <c r="DTM104" s="450"/>
      <c r="DTN104" s="450"/>
      <c r="DTO104" s="450"/>
      <c r="DTP104" s="450"/>
      <c r="DTQ104" s="450"/>
      <c r="DTR104" s="450"/>
      <c r="DTS104" s="450"/>
      <c r="DTT104" s="450"/>
      <c r="DTU104" s="450"/>
      <c r="DTV104" s="450"/>
      <c r="DTW104" s="450"/>
      <c r="DTX104" s="450"/>
      <c r="DTY104" s="450"/>
      <c r="DTZ104" s="450"/>
      <c r="DUA104" s="450"/>
      <c r="DUB104" s="450"/>
      <c r="DUC104" s="450"/>
      <c r="DUD104" s="450"/>
      <c r="DUE104" s="450"/>
      <c r="DUF104" s="450"/>
      <c r="DUG104" s="450"/>
      <c r="DUH104" s="450"/>
      <c r="DUI104" s="450"/>
      <c r="DUJ104" s="450"/>
      <c r="DUK104" s="450"/>
      <c r="DUL104" s="450"/>
      <c r="DUM104" s="450"/>
      <c r="DUN104" s="450"/>
      <c r="DUO104" s="450"/>
      <c r="DUP104" s="450"/>
      <c r="DUQ104" s="450"/>
      <c r="DUR104" s="450"/>
      <c r="DUS104" s="450"/>
      <c r="DUT104" s="450"/>
      <c r="DUU104" s="450"/>
      <c r="DUV104" s="450"/>
      <c r="DUW104" s="450"/>
      <c r="DUX104" s="450"/>
      <c r="DUY104" s="450"/>
      <c r="DUZ104" s="450"/>
      <c r="DVA104" s="450"/>
      <c r="DVB104" s="450"/>
      <c r="DVC104" s="450"/>
      <c r="DVD104" s="450"/>
      <c r="DVE104" s="450"/>
      <c r="DVF104" s="450"/>
      <c r="DVG104" s="450"/>
      <c r="DVH104" s="450"/>
      <c r="DVI104" s="450"/>
      <c r="DVJ104" s="450"/>
      <c r="DVK104" s="450"/>
      <c r="DVL104" s="450"/>
      <c r="DVM104" s="450"/>
      <c r="DVN104" s="450"/>
      <c r="DVO104" s="450"/>
      <c r="DVP104" s="450"/>
      <c r="DVQ104" s="450"/>
      <c r="DVR104" s="450"/>
      <c r="DVS104" s="450"/>
      <c r="DVT104" s="450"/>
      <c r="DVU104" s="450"/>
      <c r="DVV104" s="450"/>
      <c r="DVW104" s="450"/>
      <c r="DVX104" s="450"/>
      <c r="DVY104" s="450"/>
      <c r="DVZ104" s="450"/>
      <c r="DWA104" s="450"/>
      <c r="DWB104" s="450"/>
      <c r="DWC104" s="450"/>
      <c r="DWD104" s="450"/>
      <c r="DWE104" s="450"/>
      <c r="DWF104" s="450"/>
      <c r="DWG104" s="450"/>
      <c r="DWH104" s="450"/>
      <c r="DWI104" s="450"/>
      <c r="DWJ104" s="450"/>
      <c r="DWK104" s="450"/>
      <c r="DWL104" s="450"/>
      <c r="DWM104" s="450"/>
      <c r="DWN104" s="450"/>
      <c r="DWO104" s="450"/>
      <c r="DWP104" s="450"/>
      <c r="DWQ104" s="450"/>
      <c r="DWR104" s="450"/>
      <c r="DWS104" s="450"/>
      <c r="DWT104" s="450"/>
      <c r="DWU104" s="450"/>
      <c r="DWV104" s="450"/>
      <c r="DWW104" s="450"/>
      <c r="DWX104" s="450"/>
      <c r="DWY104" s="450"/>
      <c r="DWZ104" s="450"/>
      <c r="DXA104" s="450"/>
      <c r="DXB104" s="450"/>
      <c r="DXC104" s="450"/>
      <c r="DXD104" s="450"/>
      <c r="DXE104" s="450"/>
      <c r="DXF104" s="450"/>
      <c r="DXG104" s="450"/>
      <c r="DXH104" s="450"/>
      <c r="DXI104" s="450"/>
      <c r="DXJ104" s="450"/>
      <c r="DXK104" s="450"/>
      <c r="DXL104" s="450"/>
      <c r="DXM104" s="450"/>
      <c r="DXN104" s="450"/>
      <c r="DXO104" s="450"/>
      <c r="DXP104" s="450"/>
      <c r="DXQ104" s="450"/>
      <c r="DXR104" s="450"/>
      <c r="DXS104" s="450"/>
      <c r="DXT104" s="450"/>
      <c r="DXU104" s="450"/>
      <c r="DXV104" s="450"/>
      <c r="DXW104" s="450"/>
      <c r="DXX104" s="450"/>
      <c r="DXY104" s="450"/>
      <c r="DXZ104" s="450"/>
      <c r="DYA104" s="450"/>
      <c r="DYB104" s="450"/>
      <c r="DYC104" s="450"/>
      <c r="DYD104" s="450"/>
      <c r="DYE104" s="450"/>
      <c r="DYF104" s="450"/>
      <c r="DYG104" s="450"/>
      <c r="DYH104" s="450"/>
      <c r="DYI104" s="450"/>
      <c r="DYJ104" s="450"/>
      <c r="DYK104" s="450"/>
      <c r="DYL104" s="450"/>
      <c r="DYM104" s="450"/>
      <c r="DYN104" s="450"/>
      <c r="DYO104" s="450"/>
      <c r="DYP104" s="450"/>
      <c r="DYQ104" s="450"/>
      <c r="DYR104" s="450"/>
      <c r="DYS104" s="450"/>
      <c r="DYT104" s="450"/>
      <c r="DYU104" s="450"/>
      <c r="DYV104" s="450"/>
      <c r="DYW104" s="450"/>
      <c r="DYX104" s="450"/>
      <c r="DYY104" s="450"/>
      <c r="DYZ104" s="450"/>
      <c r="DZA104" s="450"/>
      <c r="DZB104" s="450"/>
      <c r="DZC104" s="450"/>
      <c r="DZD104" s="450"/>
      <c r="DZE104" s="450"/>
      <c r="DZF104" s="450"/>
      <c r="DZG104" s="450"/>
      <c r="DZH104" s="450"/>
      <c r="DZI104" s="450"/>
      <c r="DZJ104" s="450"/>
      <c r="DZK104" s="450"/>
      <c r="DZL104" s="450"/>
      <c r="DZM104" s="450"/>
      <c r="DZN104" s="450"/>
      <c r="DZO104" s="450"/>
      <c r="DZP104" s="450"/>
      <c r="DZQ104" s="450"/>
      <c r="DZR104" s="450"/>
      <c r="DZS104" s="450"/>
      <c r="DZT104" s="450"/>
      <c r="DZU104" s="450"/>
      <c r="DZV104" s="450"/>
      <c r="DZW104" s="450"/>
      <c r="DZX104" s="450"/>
      <c r="DZY104" s="450"/>
      <c r="DZZ104" s="450"/>
      <c r="EAA104" s="450"/>
      <c r="EAB104" s="450"/>
      <c r="EAC104" s="450"/>
      <c r="EAD104" s="450"/>
      <c r="EAE104" s="450"/>
      <c r="EAF104" s="450"/>
      <c r="EAG104" s="450"/>
      <c r="EAH104" s="450"/>
      <c r="EAI104" s="450"/>
      <c r="EAJ104" s="450"/>
      <c r="EAK104" s="450"/>
      <c r="EAL104" s="450"/>
      <c r="EAM104" s="450"/>
      <c r="EAN104" s="450"/>
      <c r="EAO104" s="450"/>
      <c r="EAP104" s="450"/>
      <c r="EAQ104" s="450"/>
      <c r="EAR104" s="450"/>
      <c r="EAS104" s="450"/>
      <c r="EAT104" s="450"/>
      <c r="EAU104" s="450"/>
      <c r="EAV104" s="450"/>
      <c r="EAW104" s="450"/>
      <c r="EAX104" s="450"/>
      <c r="EAY104" s="450"/>
      <c r="EAZ104" s="450"/>
      <c r="EBA104" s="450"/>
      <c r="EBB104" s="450"/>
      <c r="EBC104" s="450"/>
      <c r="EBD104" s="450"/>
      <c r="EBE104" s="450"/>
      <c r="EBF104" s="450"/>
      <c r="EBG104" s="450"/>
      <c r="EBH104" s="450"/>
      <c r="EBI104" s="450"/>
      <c r="EBJ104" s="450"/>
      <c r="EBK104" s="450"/>
      <c r="EBL104" s="450"/>
      <c r="EBM104" s="450"/>
      <c r="EBN104" s="450"/>
      <c r="EBO104" s="450"/>
      <c r="EBP104" s="450"/>
      <c r="EBQ104" s="450"/>
      <c r="EBR104" s="450"/>
      <c r="EBS104" s="450"/>
      <c r="EBT104" s="450"/>
      <c r="EBU104" s="450"/>
      <c r="EBV104" s="450"/>
      <c r="EBW104" s="450"/>
      <c r="EBX104" s="450"/>
      <c r="EBY104" s="450"/>
      <c r="EBZ104" s="450"/>
      <c r="ECA104" s="450"/>
      <c r="ECB104" s="450"/>
      <c r="ECC104" s="450"/>
      <c r="ECD104" s="450"/>
      <c r="ECE104" s="450"/>
      <c r="ECF104" s="450"/>
      <c r="ECG104" s="450"/>
      <c r="ECH104" s="450"/>
      <c r="ECI104" s="450"/>
      <c r="ECJ104" s="450"/>
      <c r="ECK104" s="450"/>
      <c r="ECL104" s="450"/>
      <c r="ECM104" s="450"/>
      <c r="ECN104" s="450"/>
      <c r="ECO104" s="450"/>
      <c r="ECP104" s="450"/>
      <c r="ECQ104" s="450"/>
      <c r="ECR104" s="450"/>
      <c r="ECS104" s="450"/>
      <c r="ECT104" s="450"/>
      <c r="ECU104" s="450"/>
      <c r="ECV104" s="450"/>
      <c r="ECW104" s="450"/>
      <c r="ECX104" s="450"/>
      <c r="ECY104" s="450"/>
      <c r="ECZ104" s="450"/>
      <c r="EDA104" s="450"/>
      <c r="EDB104" s="450"/>
      <c r="EDC104" s="450"/>
      <c r="EDD104" s="450"/>
      <c r="EDE104" s="450"/>
      <c r="EDF104" s="450"/>
      <c r="EDG104" s="450"/>
      <c r="EDH104" s="450"/>
      <c r="EDI104" s="450"/>
      <c r="EDJ104" s="450"/>
      <c r="EDK104" s="450"/>
      <c r="EDL104" s="450"/>
      <c r="EDM104" s="450"/>
      <c r="EDN104" s="450"/>
      <c r="EDO104" s="450"/>
      <c r="EDP104" s="450"/>
      <c r="EDQ104" s="450"/>
      <c r="EDR104" s="450"/>
      <c r="EDS104" s="450"/>
      <c r="EDT104" s="450"/>
      <c r="EDU104" s="450"/>
      <c r="EDV104" s="450"/>
      <c r="EDW104" s="450"/>
      <c r="EDX104" s="450"/>
      <c r="EDY104" s="450"/>
      <c r="EDZ104" s="450"/>
      <c r="EEA104" s="450"/>
      <c r="EEB104" s="450"/>
      <c r="EEC104" s="450"/>
      <c r="EED104" s="450"/>
      <c r="EEE104" s="450"/>
      <c r="EEF104" s="450"/>
      <c r="EEG104" s="450"/>
      <c r="EEH104" s="450"/>
      <c r="EEI104" s="450"/>
      <c r="EEJ104" s="450"/>
      <c r="EEK104" s="450"/>
      <c r="EEL104" s="450"/>
      <c r="EEM104" s="450"/>
      <c r="EEN104" s="450"/>
      <c r="EEO104" s="450"/>
      <c r="EEP104" s="450"/>
      <c r="EEQ104" s="450"/>
      <c r="EER104" s="450"/>
      <c r="EES104" s="450"/>
      <c r="EET104" s="450"/>
      <c r="EEU104" s="450"/>
      <c r="EEV104" s="450"/>
      <c r="EEW104" s="450"/>
      <c r="EEX104" s="450"/>
      <c r="EEY104" s="450"/>
      <c r="EEZ104" s="450"/>
      <c r="EFA104" s="450"/>
      <c r="EFB104" s="450"/>
      <c r="EFC104" s="450"/>
      <c r="EFD104" s="450"/>
      <c r="EFE104" s="450"/>
      <c r="EFF104" s="450"/>
      <c r="EFG104" s="450"/>
      <c r="EFH104" s="450"/>
      <c r="EFI104" s="450"/>
      <c r="EFJ104" s="450"/>
      <c r="EFK104" s="450"/>
      <c r="EFL104" s="450"/>
      <c r="EFM104" s="450"/>
      <c r="EFN104" s="450"/>
      <c r="EFO104" s="450"/>
      <c r="EFP104" s="450"/>
      <c r="EFQ104" s="450"/>
      <c r="EFR104" s="450"/>
      <c r="EFS104" s="450"/>
      <c r="EFT104" s="450"/>
      <c r="EFU104" s="450"/>
      <c r="EFV104" s="450"/>
      <c r="EFW104" s="450"/>
      <c r="EFX104" s="450"/>
      <c r="EFY104" s="450"/>
      <c r="EFZ104" s="450"/>
      <c r="EGA104" s="450"/>
      <c r="EGB104" s="450"/>
      <c r="EGC104" s="450"/>
      <c r="EGD104" s="450"/>
      <c r="EGE104" s="450"/>
      <c r="EGF104" s="450"/>
      <c r="EGG104" s="450"/>
      <c r="EGH104" s="450"/>
      <c r="EGI104" s="450"/>
      <c r="EGJ104" s="450"/>
      <c r="EGK104" s="450"/>
      <c r="EGL104" s="450"/>
      <c r="EGM104" s="450"/>
      <c r="EGN104" s="450"/>
      <c r="EGO104" s="450"/>
      <c r="EGP104" s="450"/>
      <c r="EGQ104" s="450"/>
      <c r="EGR104" s="450"/>
      <c r="EGS104" s="450"/>
      <c r="EGT104" s="450"/>
      <c r="EGU104" s="450"/>
      <c r="EGV104" s="450"/>
      <c r="EGW104" s="450"/>
      <c r="EGX104" s="450"/>
      <c r="EGY104" s="450"/>
      <c r="EGZ104" s="450"/>
      <c r="EHA104" s="450"/>
      <c r="EHB104" s="450"/>
      <c r="EHC104" s="450"/>
      <c r="EHD104" s="450"/>
      <c r="EHE104" s="450"/>
      <c r="EHF104" s="450"/>
      <c r="EHG104" s="450"/>
      <c r="EHH104" s="450"/>
      <c r="EHI104" s="450"/>
      <c r="EHJ104" s="450"/>
      <c r="EHK104" s="450"/>
      <c r="EHL104" s="450"/>
      <c r="EHM104" s="450"/>
      <c r="EHN104" s="450"/>
      <c r="EHO104" s="450"/>
      <c r="EHP104" s="450"/>
      <c r="EHQ104" s="450"/>
      <c r="EHR104" s="450"/>
      <c r="EHS104" s="450"/>
      <c r="EHT104" s="450"/>
      <c r="EHU104" s="450"/>
      <c r="EHV104" s="450"/>
      <c r="EHW104" s="450"/>
      <c r="EHX104" s="450"/>
      <c r="EHY104" s="450"/>
      <c r="EHZ104" s="450"/>
      <c r="EIA104" s="450"/>
      <c r="EIB104" s="450"/>
      <c r="EIC104" s="450"/>
      <c r="EID104" s="450"/>
      <c r="EIE104" s="450"/>
      <c r="EIF104" s="450"/>
      <c r="EIG104" s="450"/>
      <c r="EIH104" s="450"/>
      <c r="EII104" s="450"/>
      <c r="EIJ104" s="450"/>
      <c r="EIK104" s="450"/>
      <c r="EIL104" s="450"/>
      <c r="EIM104" s="450"/>
      <c r="EIN104" s="450"/>
      <c r="EIO104" s="450"/>
      <c r="EIP104" s="450"/>
      <c r="EIQ104" s="450"/>
      <c r="EIR104" s="450"/>
      <c r="EIS104" s="450"/>
      <c r="EIT104" s="450"/>
      <c r="EIU104" s="450"/>
      <c r="EIV104" s="450"/>
      <c r="EIW104" s="450"/>
      <c r="EIX104" s="450"/>
      <c r="EIY104" s="450"/>
      <c r="EIZ104" s="450"/>
      <c r="EJA104" s="450"/>
      <c r="EJB104" s="450"/>
      <c r="EJC104" s="450"/>
      <c r="EJD104" s="450"/>
      <c r="EJE104" s="450"/>
      <c r="EJF104" s="450"/>
      <c r="EJG104" s="450"/>
      <c r="EJH104" s="450"/>
      <c r="EJI104" s="450"/>
      <c r="EJJ104" s="450"/>
      <c r="EJK104" s="450"/>
      <c r="EJL104" s="450"/>
      <c r="EJM104" s="450"/>
      <c r="EJN104" s="450"/>
      <c r="EJO104" s="450"/>
      <c r="EJP104" s="450"/>
      <c r="EJQ104" s="450"/>
      <c r="EJR104" s="450"/>
      <c r="EJS104" s="450"/>
      <c r="EJT104" s="450"/>
      <c r="EJU104" s="450"/>
      <c r="EJV104" s="450"/>
      <c r="EJW104" s="450"/>
      <c r="EJX104" s="450"/>
      <c r="EJY104" s="450"/>
      <c r="EJZ104" s="450"/>
      <c r="EKA104" s="450"/>
      <c r="EKB104" s="450"/>
      <c r="EKC104" s="450"/>
      <c r="EKD104" s="450"/>
      <c r="EKE104" s="450"/>
      <c r="EKF104" s="450"/>
      <c r="EKG104" s="450"/>
      <c r="EKH104" s="450"/>
      <c r="EKI104" s="450"/>
      <c r="EKJ104" s="450"/>
      <c r="EKK104" s="450"/>
      <c r="EKL104" s="450"/>
      <c r="EKM104" s="450"/>
      <c r="EKN104" s="450"/>
      <c r="EKO104" s="450"/>
      <c r="EKP104" s="450"/>
      <c r="EKQ104" s="450"/>
      <c r="EKR104" s="450"/>
      <c r="EKS104" s="450"/>
      <c r="EKT104" s="450"/>
      <c r="EKU104" s="450"/>
      <c r="EKV104" s="450"/>
      <c r="EKW104" s="450"/>
      <c r="EKX104" s="450"/>
      <c r="EKY104" s="450"/>
      <c r="EKZ104" s="450"/>
      <c r="ELA104" s="450"/>
      <c r="ELB104" s="450"/>
      <c r="ELC104" s="450"/>
      <c r="ELD104" s="450"/>
      <c r="ELE104" s="450"/>
      <c r="ELF104" s="450"/>
      <c r="ELG104" s="450"/>
      <c r="ELH104" s="450"/>
      <c r="ELI104" s="450"/>
      <c r="ELJ104" s="450"/>
      <c r="ELK104" s="450"/>
      <c r="ELL104" s="450"/>
      <c r="ELM104" s="450"/>
      <c r="ELN104" s="450"/>
      <c r="ELO104" s="450"/>
      <c r="ELP104" s="450"/>
      <c r="ELQ104" s="450"/>
      <c r="ELR104" s="450"/>
      <c r="ELS104" s="450"/>
      <c r="ELT104" s="450"/>
      <c r="ELU104" s="450"/>
      <c r="ELV104" s="450"/>
      <c r="ELW104" s="450"/>
      <c r="ELX104" s="450"/>
      <c r="ELY104" s="450"/>
      <c r="ELZ104" s="450"/>
      <c r="EMA104" s="450"/>
      <c r="EMB104" s="450"/>
      <c r="EMC104" s="450"/>
      <c r="EMD104" s="450"/>
      <c r="EME104" s="450"/>
      <c r="EMF104" s="450"/>
      <c r="EMG104" s="450"/>
      <c r="EMH104" s="450"/>
      <c r="EMI104" s="450"/>
      <c r="EMJ104" s="450"/>
      <c r="EMK104" s="450"/>
      <c r="EML104" s="450"/>
      <c r="EMM104" s="450"/>
      <c r="EMN104" s="450"/>
      <c r="EMO104" s="450"/>
      <c r="EMP104" s="450"/>
      <c r="EMQ104" s="450"/>
      <c r="EMR104" s="450"/>
      <c r="EMS104" s="450"/>
      <c r="EMT104" s="450"/>
      <c r="EMU104" s="450"/>
      <c r="EMV104" s="450"/>
      <c r="EMW104" s="450"/>
      <c r="EMX104" s="450"/>
      <c r="EMY104" s="450"/>
      <c r="EMZ104" s="450"/>
      <c r="ENA104" s="450"/>
      <c r="ENB104" s="450"/>
      <c r="ENC104" s="450"/>
      <c r="END104" s="450"/>
      <c r="ENE104" s="450"/>
      <c r="ENF104" s="450"/>
      <c r="ENG104" s="450"/>
      <c r="ENH104" s="450"/>
      <c r="ENI104" s="450"/>
      <c r="ENJ104" s="450"/>
      <c r="ENK104" s="450"/>
      <c r="ENL104" s="450"/>
      <c r="ENM104" s="450"/>
      <c r="ENN104" s="450"/>
      <c r="ENO104" s="450"/>
      <c r="ENP104" s="450"/>
      <c r="ENQ104" s="450"/>
      <c r="ENR104" s="450"/>
      <c r="ENS104" s="450"/>
      <c r="ENT104" s="450"/>
      <c r="ENU104" s="450"/>
      <c r="ENV104" s="450"/>
      <c r="ENW104" s="450"/>
      <c r="ENX104" s="450"/>
      <c r="ENY104" s="450"/>
      <c r="ENZ104" s="450"/>
      <c r="EOA104" s="450"/>
      <c r="EOB104" s="450"/>
      <c r="EOC104" s="450"/>
      <c r="EOD104" s="450"/>
      <c r="EOE104" s="450"/>
      <c r="EOF104" s="450"/>
      <c r="EOG104" s="450"/>
      <c r="EOH104" s="450"/>
      <c r="EOI104" s="450"/>
      <c r="EOJ104" s="450"/>
      <c r="EOK104" s="450"/>
      <c r="EOL104" s="450"/>
      <c r="EOM104" s="450"/>
      <c r="EON104" s="450"/>
      <c r="EOO104" s="450"/>
      <c r="EOP104" s="450"/>
      <c r="EOQ104" s="450"/>
      <c r="EOR104" s="450"/>
      <c r="EOS104" s="450"/>
      <c r="EOT104" s="450"/>
      <c r="EOU104" s="450"/>
      <c r="EOV104" s="450"/>
      <c r="EOW104" s="450"/>
      <c r="EOX104" s="450"/>
      <c r="EOY104" s="450"/>
      <c r="EOZ104" s="450"/>
      <c r="EPA104" s="450"/>
      <c r="EPB104" s="450"/>
      <c r="EPC104" s="450"/>
      <c r="EPD104" s="450"/>
      <c r="EPE104" s="450"/>
      <c r="EPF104" s="450"/>
      <c r="EPG104" s="450"/>
      <c r="EPH104" s="450"/>
      <c r="EPI104" s="450"/>
      <c r="EPJ104" s="450"/>
      <c r="EPK104" s="450"/>
      <c r="EPL104" s="450"/>
      <c r="EPM104" s="450"/>
      <c r="EPN104" s="450"/>
      <c r="EPO104" s="450"/>
      <c r="EPP104" s="450"/>
      <c r="EPQ104" s="450"/>
      <c r="EPR104" s="450"/>
      <c r="EPS104" s="450"/>
      <c r="EPT104" s="450"/>
      <c r="EPU104" s="450"/>
      <c r="EPV104" s="450"/>
      <c r="EPW104" s="450"/>
      <c r="EPX104" s="450"/>
      <c r="EPY104" s="450"/>
      <c r="EPZ104" s="450"/>
      <c r="EQA104" s="450"/>
      <c r="EQB104" s="450"/>
      <c r="EQC104" s="450"/>
      <c r="EQD104" s="450"/>
      <c r="EQE104" s="450"/>
      <c r="EQF104" s="450"/>
      <c r="EQG104" s="450"/>
      <c r="EQH104" s="450"/>
      <c r="EQI104" s="450"/>
      <c r="EQJ104" s="450"/>
      <c r="EQK104" s="450"/>
      <c r="EQL104" s="450"/>
      <c r="EQM104" s="450"/>
      <c r="EQN104" s="450"/>
      <c r="EQO104" s="450"/>
      <c r="EQP104" s="450"/>
      <c r="EQQ104" s="450"/>
      <c r="EQR104" s="450"/>
      <c r="EQS104" s="450"/>
      <c r="EQT104" s="450"/>
      <c r="EQU104" s="450"/>
      <c r="EQV104" s="450"/>
      <c r="EQW104" s="450"/>
      <c r="EQX104" s="450"/>
      <c r="EQY104" s="450"/>
      <c r="EQZ104" s="450"/>
      <c r="ERA104" s="450"/>
      <c r="ERB104" s="450"/>
      <c r="ERC104" s="450"/>
      <c r="ERD104" s="450"/>
      <c r="ERE104" s="450"/>
      <c r="ERF104" s="450"/>
      <c r="ERG104" s="450"/>
      <c r="ERH104" s="450"/>
      <c r="ERI104" s="450"/>
      <c r="ERJ104" s="450"/>
      <c r="ERK104" s="450"/>
      <c r="ERL104" s="450"/>
      <c r="ERM104" s="450"/>
      <c r="ERN104" s="450"/>
      <c r="ERO104" s="450"/>
      <c r="ERP104" s="450"/>
      <c r="ERQ104" s="450"/>
      <c r="ERR104" s="450"/>
      <c r="ERS104" s="450"/>
      <c r="ERT104" s="450"/>
      <c r="ERU104" s="450"/>
      <c r="ERV104" s="450"/>
      <c r="ERW104" s="450"/>
      <c r="ERX104" s="450"/>
      <c r="ERY104" s="450"/>
      <c r="ERZ104" s="450"/>
      <c r="ESA104" s="450"/>
      <c r="ESB104" s="450"/>
      <c r="ESC104" s="450"/>
      <c r="ESD104" s="450"/>
      <c r="ESE104" s="450"/>
      <c r="ESF104" s="450"/>
      <c r="ESG104" s="450"/>
      <c r="ESH104" s="450"/>
      <c r="ESI104" s="450"/>
      <c r="ESJ104" s="450"/>
      <c r="ESK104" s="450"/>
      <c r="ESL104" s="450"/>
      <c r="ESM104" s="450"/>
      <c r="ESN104" s="450"/>
      <c r="ESO104" s="450"/>
      <c r="ESP104" s="450"/>
      <c r="ESQ104" s="450"/>
      <c r="ESR104" s="450"/>
      <c r="ESS104" s="450"/>
      <c r="EST104" s="450"/>
      <c r="ESU104" s="450"/>
      <c r="ESV104" s="450"/>
      <c r="ESW104" s="450"/>
      <c r="ESX104" s="450"/>
      <c r="ESY104" s="450"/>
      <c r="ESZ104" s="450"/>
      <c r="ETA104" s="450"/>
      <c r="ETB104" s="450"/>
      <c r="ETC104" s="450"/>
      <c r="ETD104" s="450"/>
      <c r="ETE104" s="450"/>
      <c r="ETF104" s="450"/>
      <c r="ETG104" s="450"/>
      <c r="ETH104" s="450"/>
      <c r="ETI104" s="450"/>
      <c r="ETJ104" s="450"/>
      <c r="ETK104" s="450"/>
      <c r="ETL104" s="450"/>
      <c r="ETM104" s="450"/>
      <c r="ETN104" s="450"/>
      <c r="ETO104" s="450"/>
      <c r="ETP104" s="450"/>
      <c r="ETQ104" s="450"/>
      <c r="ETR104" s="450"/>
      <c r="ETS104" s="450"/>
      <c r="ETT104" s="450"/>
      <c r="ETU104" s="450"/>
      <c r="ETV104" s="450"/>
      <c r="ETW104" s="450"/>
      <c r="ETX104" s="450"/>
      <c r="ETY104" s="450"/>
      <c r="ETZ104" s="450"/>
      <c r="EUA104" s="450"/>
      <c r="EUB104" s="450"/>
      <c r="EUC104" s="450"/>
      <c r="EUD104" s="450"/>
      <c r="EUE104" s="450"/>
      <c r="EUF104" s="450"/>
      <c r="EUG104" s="450"/>
      <c r="EUH104" s="450"/>
      <c r="EUI104" s="450"/>
      <c r="EUJ104" s="450"/>
      <c r="EUK104" s="450"/>
      <c r="EUL104" s="450"/>
      <c r="EUM104" s="450"/>
      <c r="EUN104" s="450"/>
      <c r="EUO104" s="450"/>
      <c r="EUP104" s="450"/>
      <c r="EUQ104" s="450"/>
      <c r="EUR104" s="450"/>
      <c r="EUS104" s="450"/>
      <c r="EUT104" s="450"/>
      <c r="EUU104" s="450"/>
      <c r="EUV104" s="450"/>
      <c r="EUW104" s="450"/>
      <c r="EUX104" s="450"/>
      <c r="EUY104" s="450"/>
      <c r="EUZ104" s="450"/>
      <c r="EVA104" s="450"/>
      <c r="EVB104" s="450"/>
      <c r="EVC104" s="450"/>
      <c r="EVD104" s="450"/>
      <c r="EVE104" s="450"/>
      <c r="EVF104" s="450"/>
      <c r="EVG104" s="450"/>
      <c r="EVH104" s="450"/>
      <c r="EVI104" s="450"/>
      <c r="EVJ104" s="450"/>
      <c r="EVK104" s="450"/>
      <c r="EVL104" s="450"/>
      <c r="EVM104" s="450"/>
      <c r="EVN104" s="450"/>
      <c r="EVO104" s="450"/>
      <c r="EVP104" s="450"/>
      <c r="EVQ104" s="450"/>
      <c r="EVR104" s="450"/>
      <c r="EVS104" s="450"/>
      <c r="EVT104" s="450"/>
      <c r="EVU104" s="450"/>
      <c r="EVV104" s="450"/>
      <c r="EVW104" s="450"/>
      <c r="EVX104" s="450"/>
      <c r="EVY104" s="450"/>
      <c r="EVZ104" s="450"/>
      <c r="EWA104" s="450"/>
      <c r="EWB104" s="450"/>
      <c r="EWC104" s="450"/>
      <c r="EWD104" s="450"/>
      <c r="EWE104" s="450"/>
      <c r="EWF104" s="450"/>
      <c r="EWG104" s="450"/>
      <c r="EWH104" s="450"/>
      <c r="EWI104" s="450"/>
      <c r="EWJ104" s="450"/>
      <c r="EWK104" s="450"/>
      <c r="EWL104" s="450"/>
      <c r="EWM104" s="450"/>
      <c r="EWN104" s="450"/>
      <c r="EWO104" s="450"/>
      <c r="EWP104" s="450"/>
      <c r="EWQ104" s="450"/>
      <c r="EWR104" s="450"/>
      <c r="EWS104" s="450"/>
      <c r="EWT104" s="450"/>
      <c r="EWU104" s="450"/>
      <c r="EWV104" s="450"/>
      <c r="EWW104" s="450"/>
      <c r="EWX104" s="450"/>
      <c r="EWY104" s="450"/>
      <c r="EWZ104" s="450"/>
      <c r="EXA104" s="450"/>
      <c r="EXB104" s="450"/>
      <c r="EXC104" s="450"/>
      <c r="EXD104" s="450"/>
      <c r="EXE104" s="450"/>
      <c r="EXF104" s="450"/>
      <c r="EXG104" s="450"/>
      <c r="EXH104" s="450"/>
      <c r="EXI104" s="450"/>
      <c r="EXJ104" s="450"/>
      <c r="EXK104" s="450"/>
      <c r="EXL104" s="450"/>
      <c r="EXM104" s="450"/>
      <c r="EXN104" s="450"/>
      <c r="EXO104" s="450"/>
      <c r="EXP104" s="450"/>
      <c r="EXQ104" s="450"/>
      <c r="EXR104" s="450"/>
      <c r="EXS104" s="450"/>
      <c r="EXT104" s="450"/>
      <c r="EXU104" s="450"/>
      <c r="EXV104" s="450"/>
      <c r="EXW104" s="450"/>
      <c r="EXX104" s="450"/>
      <c r="EXY104" s="450"/>
      <c r="EXZ104" s="450"/>
      <c r="EYA104" s="450"/>
      <c r="EYB104" s="450"/>
      <c r="EYC104" s="450"/>
      <c r="EYD104" s="450"/>
      <c r="EYE104" s="450"/>
      <c r="EYF104" s="450"/>
      <c r="EYG104" s="450"/>
      <c r="EYH104" s="450"/>
      <c r="EYI104" s="450"/>
      <c r="EYJ104" s="450"/>
      <c r="EYK104" s="450"/>
      <c r="EYL104" s="450"/>
      <c r="EYM104" s="450"/>
      <c r="EYN104" s="450"/>
      <c r="EYO104" s="450"/>
      <c r="EYP104" s="450"/>
      <c r="EYQ104" s="450"/>
      <c r="EYR104" s="450"/>
      <c r="EYS104" s="450"/>
      <c r="EYT104" s="450"/>
      <c r="EYU104" s="450"/>
      <c r="EYV104" s="450"/>
      <c r="EYW104" s="450"/>
      <c r="EYX104" s="450"/>
      <c r="EYY104" s="450"/>
      <c r="EYZ104" s="450"/>
      <c r="EZA104" s="450"/>
      <c r="EZB104" s="450"/>
      <c r="EZC104" s="450"/>
      <c r="EZD104" s="450"/>
      <c r="EZE104" s="450"/>
      <c r="EZF104" s="450"/>
      <c r="EZG104" s="450"/>
      <c r="EZH104" s="450"/>
      <c r="EZI104" s="450"/>
      <c r="EZJ104" s="450"/>
      <c r="EZK104" s="450"/>
      <c r="EZL104" s="450"/>
      <c r="EZM104" s="450"/>
      <c r="EZN104" s="450"/>
      <c r="EZO104" s="450"/>
      <c r="EZP104" s="450"/>
      <c r="EZQ104" s="450"/>
      <c r="EZR104" s="450"/>
      <c r="EZS104" s="450"/>
      <c r="EZT104" s="450"/>
      <c r="EZU104" s="450"/>
      <c r="EZV104" s="450"/>
      <c r="EZW104" s="450"/>
      <c r="EZX104" s="450"/>
      <c r="EZY104" s="450"/>
      <c r="EZZ104" s="450"/>
      <c r="FAA104" s="450"/>
      <c r="FAB104" s="450"/>
      <c r="FAC104" s="450"/>
      <c r="FAD104" s="450"/>
      <c r="FAE104" s="450"/>
      <c r="FAF104" s="450"/>
      <c r="FAG104" s="450"/>
      <c r="FAH104" s="450"/>
      <c r="FAI104" s="450"/>
      <c r="FAJ104" s="450"/>
      <c r="FAK104" s="450"/>
      <c r="FAL104" s="450"/>
      <c r="FAM104" s="450"/>
      <c r="FAN104" s="450"/>
      <c r="FAO104" s="450"/>
      <c r="FAP104" s="450"/>
      <c r="FAQ104" s="450"/>
      <c r="FAR104" s="450"/>
      <c r="FAS104" s="450"/>
      <c r="FAT104" s="450"/>
      <c r="FAU104" s="450"/>
      <c r="FAV104" s="450"/>
      <c r="FAW104" s="450"/>
      <c r="FAX104" s="450"/>
      <c r="FAY104" s="450"/>
      <c r="FAZ104" s="450"/>
      <c r="FBA104" s="450"/>
      <c r="FBB104" s="450"/>
      <c r="FBC104" s="450"/>
      <c r="FBD104" s="450"/>
      <c r="FBE104" s="450"/>
      <c r="FBF104" s="450"/>
      <c r="FBG104" s="450"/>
      <c r="FBH104" s="450"/>
      <c r="FBI104" s="450"/>
      <c r="FBJ104" s="450"/>
      <c r="FBK104" s="450"/>
      <c r="FBL104" s="450"/>
      <c r="FBM104" s="450"/>
      <c r="FBN104" s="450"/>
      <c r="FBO104" s="450"/>
      <c r="FBP104" s="450"/>
      <c r="FBQ104" s="450"/>
      <c r="FBR104" s="450"/>
      <c r="FBS104" s="450"/>
      <c r="FBT104" s="450"/>
      <c r="FBU104" s="450"/>
      <c r="FBV104" s="450"/>
      <c r="FBW104" s="450"/>
      <c r="FBX104" s="450"/>
      <c r="FBY104" s="450"/>
      <c r="FBZ104" s="450"/>
      <c r="FCA104" s="450"/>
      <c r="FCB104" s="450"/>
      <c r="FCC104" s="450"/>
      <c r="FCD104" s="450"/>
      <c r="FCE104" s="450"/>
      <c r="FCF104" s="450"/>
      <c r="FCG104" s="450"/>
      <c r="FCH104" s="450"/>
      <c r="FCI104" s="450"/>
      <c r="FCJ104" s="450"/>
      <c r="FCK104" s="450"/>
      <c r="FCL104" s="450"/>
      <c r="FCM104" s="450"/>
      <c r="FCN104" s="450"/>
      <c r="FCO104" s="450"/>
      <c r="FCP104" s="450"/>
      <c r="FCQ104" s="450"/>
      <c r="FCR104" s="450"/>
      <c r="FCS104" s="450"/>
      <c r="FCT104" s="450"/>
      <c r="FCU104" s="450"/>
      <c r="FCV104" s="450"/>
      <c r="FCW104" s="450"/>
      <c r="FCX104" s="450"/>
      <c r="FCY104" s="450"/>
      <c r="FCZ104" s="450"/>
      <c r="FDA104" s="450"/>
      <c r="FDB104" s="450"/>
      <c r="FDC104" s="450"/>
      <c r="FDD104" s="450"/>
      <c r="FDE104" s="450"/>
      <c r="FDF104" s="450"/>
      <c r="FDG104" s="450"/>
      <c r="FDH104" s="450"/>
      <c r="FDI104" s="450"/>
      <c r="FDJ104" s="450"/>
      <c r="FDK104" s="450"/>
      <c r="FDL104" s="450"/>
      <c r="FDM104" s="450"/>
      <c r="FDN104" s="450"/>
      <c r="FDO104" s="450"/>
      <c r="FDP104" s="450"/>
      <c r="FDQ104" s="450"/>
      <c r="FDR104" s="450"/>
      <c r="FDS104" s="450"/>
      <c r="FDT104" s="450"/>
      <c r="FDU104" s="450"/>
      <c r="FDV104" s="450"/>
      <c r="FDW104" s="450"/>
      <c r="FDX104" s="450"/>
      <c r="FDY104" s="450"/>
      <c r="FDZ104" s="450"/>
      <c r="FEA104" s="450"/>
      <c r="FEB104" s="450"/>
      <c r="FEC104" s="450"/>
      <c r="FED104" s="450"/>
      <c r="FEE104" s="450"/>
      <c r="FEF104" s="450"/>
      <c r="FEG104" s="450"/>
      <c r="FEH104" s="450"/>
      <c r="FEI104" s="450"/>
      <c r="FEJ104" s="450"/>
      <c r="FEK104" s="450"/>
      <c r="FEL104" s="450"/>
      <c r="FEM104" s="450"/>
      <c r="FEN104" s="450"/>
      <c r="FEO104" s="450"/>
      <c r="FEP104" s="450"/>
      <c r="FEQ104" s="450"/>
      <c r="FER104" s="450"/>
      <c r="FES104" s="450"/>
      <c r="FET104" s="450"/>
      <c r="FEU104" s="450"/>
      <c r="FEV104" s="450"/>
      <c r="FEW104" s="450"/>
      <c r="FEX104" s="450"/>
      <c r="FEY104" s="450"/>
      <c r="FEZ104" s="450"/>
      <c r="FFA104" s="450"/>
      <c r="FFB104" s="450"/>
      <c r="FFC104" s="450"/>
      <c r="FFD104" s="450"/>
      <c r="FFE104" s="450"/>
      <c r="FFF104" s="450"/>
      <c r="FFG104" s="450"/>
      <c r="FFH104" s="450"/>
      <c r="FFI104" s="450"/>
      <c r="FFJ104" s="450"/>
      <c r="FFK104" s="450"/>
      <c r="FFL104" s="450"/>
      <c r="FFM104" s="450"/>
      <c r="FFN104" s="450"/>
      <c r="FFO104" s="450"/>
      <c r="FFP104" s="450"/>
      <c r="FFQ104" s="450"/>
      <c r="FFR104" s="450"/>
      <c r="FFS104" s="450"/>
      <c r="FFT104" s="450"/>
      <c r="FFU104" s="450"/>
      <c r="FFV104" s="450"/>
      <c r="FFW104" s="450"/>
      <c r="FFX104" s="450"/>
      <c r="FFY104" s="450"/>
      <c r="FFZ104" s="450"/>
      <c r="FGA104" s="450"/>
      <c r="FGB104" s="450"/>
      <c r="FGC104" s="450"/>
      <c r="FGD104" s="450"/>
      <c r="FGE104" s="450"/>
      <c r="FGF104" s="450"/>
      <c r="FGG104" s="450"/>
      <c r="FGH104" s="450"/>
      <c r="FGI104" s="450"/>
      <c r="FGJ104" s="450"/>
      <c r="FGK104" s="450"/>
      <c r="FGL104" s="450"/>
      <c r="FGM104" s="450"/>
      <c r="FGN104" s="450"/>
      <c r="FGO104" s="450"/>
      <c r="FGP104" s="450"/>
      <c r="FGQ104" s="450"/>
      <c r="FGR104" s="450"/>
      <c r="FGS104" s="450"/>
      <c r="FGT104" s="450"/>
      <c r="FGU104" s="450"/>
      <c r="FGV104" s="450"/>
      <c r="FGW104" s="450"/>
      <c r="FGX104" s="450"/>
      <c r="FGY104" s="450"/>
      <c r="FGZ104" s="450"/>
      <c r="FHA104" s="450"/>
      <c r="FHB104" s="450"/>
      <c r="FHC104" s="450"/>
      <c r="FHD104" s="450"/>
      <c r="FHE104" s="450"/>
      <c r="FHF104" s="450"/>
      <c r="FHG104" s="450"/>
      <c r="FHH104" s="450"/>
      <c r="FHI104" s="450"/>
      <c r="FHJ104" s="450"/>
      <c r="FHK104" s="450"/>
      <c r="FHL104" s="450"/>
      <c r="FHM104" s="450"/>
      <c r="FHN104" s="450"/>
      <c r="FHO104" s="450"/>
      <c r="FHP104" s="450"/>
      <c r="FHQ104" s="450"/>
      <c r="FHR104" s="450"/>
      <c r="FHS104" s="450"/>
      <c r="FHT104" s="450"/>
      <c r="FHU104" s="450"/>
      <c r="FHV104" s="450"/>
      <c r="FHW104" s="450"/>
      <c r="FHX104" s="450"/>
      <c r="FHY104" s="450"/>
      <c r="FHZ104" s="450"/>
      <c r="FIA104" s="450"/>
      <c r="FIB104" s="450"/>
      <c r="FIC104" s="450"/>
      <c r="FID104" s="450"/>
      <c r="FIE104" s="450"/>
      <c r="FIF104" s="450"/>
      <c r="FIG104" s="450"/>
      <c r="FIH104" s="450"/>
      <c r="FII104" s="450"/>
      <c r="FIJ104" s="450"/>
      <c r="FIK104" s="450"/>
      <c r="FIL104" s="450"/>
      <c r="FIM104" s="450"/>
      <c r="FIN104" s="450"/>
      <c r="FIO104" s="450"/>
      <c r="FIP104" s="450"/>
      <c r="FIQ104" s="450"/>
      <c r="FIR104" s="450"/>
      <c r="FIS104" s="450"/>
      <c r="FIT104" s="450"/>
      <c r="FIU104" s="450"/>
      <c r="FIV104" s="450"/>
      <c r="FIW104" s="450"/>
      <c r="FIX104" s="450"/>
      <c r="FIY104" s="450"/>
      <c r="FIZ104" s="450"/>
      <c r="FJA104" s="450"/>
      <c r="FJB104" s="450"/>
      <c r="FJC104" s="450"/>
      <c r="FJD104" s="450"/>
      <c r="FJE104" s="450"/>
      <c r="FJF104" s="450"/>
      <c r="FJG104" s="450"/>
      <c r="FJH104" s="450"/>
      <c r="FJI104" s="450"/>
      <c r="FJJ104" s="450"/>
      <c r="FJK104" s="450"/>
      <c r="FJL104" s="450"/>
      <c r="FJM104" s="450"/>
      <c r="FJN104" s="450"/>
      <c r="FJO104" s="450"/>
      <c r="FJP104" s="450"/>
      <c r="FJQ104" s="450"/>
      <c r="FJR104" s="450"/>
      <c r="FJS104" s="450"/>
      <c r="FJT104" s="450"/>
      <c r="FJU104" s="450"/>
      <c r="FJV104" s="450"/>
      <c r="FJW104" s="450"/>
      <c r="FJX104" s="450"/>
      <c r="FJY104" s="450"/>
      <c r="FJZ104" s="450"/>
      <c r="FKA104" s="450"/>
      <c r="FKB104" s="450"/>
      <c r="FKC104" s="450"/>
      <c r="FKD104" s="450"/>
      <c r="FKE104" s="450"/>
      <c r="FKF104" s="450"/>
      <c r="FKG104" s="450"/>
      <c r="FKH104" s="450"/>
      <c r="FKI104" s="450"/>
      <c r="FKJ104" s="450"/>
      <c r="FKK104" s="450"/>
      <c r="FKL104" s="450"/>
      <c r="FKM104" s="450"/>
      <c r="FKN104" s="450"/>
      <c r="FKO104" s="450"/>
      <c r="FKP104" s="450"/>
      <c r="FKQ104" s="450"/>
      <c r="FKR104" s="450"/>
      <c r="FKS104" s="450"/>
      <c r="FKT104" s="450"/>
      <c r="FKU104" s="450"/>
      <c r="FKV104" s="450"/>
      <c r="FKW104" s="450"/>
      <c r="FKX104" s="450"/>
      <c r="FKY104" s="450"/>
      <c r="FKZ104" s="450"/>
      <c r="FLA104" s="450"/>
      <c r="FLB104" s="450"/>
      <c r="FLC104" s="450"/>
      <c r="FLD104" s="450"/>
      <c r="FLE104" s="450"/>
      <c r="FLF104" s="450"/>
      <c r="FLG104" s="450"/>
      <c r="FLH104" s="450"/>
      <c r="FLI104" s="450"/>
      <c r="FLJ104" s="450"/>
      <c r="FLK104" s="450"/>
      <c r="FLL104" s="450"/>
      <c r="FLM104" s="450"/>
      <c r="FLN104" s="450"/>
      <c r="FLO104" s="450"/>
      <c r="FLP104" s="450"/>
      <c r="FLQ104" s="450"/>
      <c r="FLR104" s="450"/>
      <c r="FLS104" s="450"/>
      <c r="FLT104" s="450"/>
      <c r="FLU104" s="450"/>
      <c r="FLV104" s="450"/>
      <c r="FLW104" s="450"/>
      <c r="FLX104" s="450"/>
      <c r="FLY104" s="450"/>
      <c r="FLZ104" s="450"/>
      <c r="FMA104" s="450"/>
      <c r="FMB104" s="450"/>
      <c r="FMC104" s="450"/>
      <c r="FMD104" s="450"/>
      <c r="FME104" s="450"/>
      <c r="FMF104" s="450"/>
      <c r="FMG104" s="450"/>
      <c r="FMH104" s="450"/>
      <c r="FMI104" s="450"/>
      <c r="FMJ104" s="450"/>
      <c r="FMK104" s="450"/>
      <c r="FML104" s="450"/>
      <c r="FMM104" s="450"/>
      <c r="FMN104" s="450"/>
      <c r="FMO104" s="450"/>
      <c r="FMP104" s="450"/>
      <c r="FMQ104" s="450"/>
      <c r="FMR104" s="450"/>
      <c r="FMS104" s="450"/>
      <c r="FMT104" s="450"/>
      <c r="FMU104" s="450"/>
      <c r="FMV104" s="450"/>
      <c r="FMW104" s="450"/>
      <c r="FMX104" s="450"/>
      <c r="FMY104" s="450"/>
      <c r="FMZ104" s="450"/>
      <c r="FNA104" s="450"/>
      <c r="FNB104" s="450"/>
      <c r="FNC104" s="450"/>
      <c r="FND104" s="450"/>
      <c r="FNE104" s="450"/>
      <c r="FNF104" s="450"/>
      <c r="FNG104" s="450"/>
      <c r="FNH104" s="450"/>
      <c r="FNI104" s="450"/>
      <c r="FNJ104" s="450"/>
      <c r="FNK104" s="450"/>
      <c r="FNL104" s="450"/>
      <c r="FNM104" s="450"/>
      <c r="FNN104" s="450"/>
      <c r="FNO104" s="450"/>
      <c r="FNP104" s="450"/>
      <c r="FNQ104" s="450"/>
      <c r="FNR104" s="450"/>
      <c r="FNS104" s="450"/>
      <c r="FNT104" s="450"/>
      <c r="FNU104" s="450"/>
      <c r="FNV104" s="450"/>
      <c r="FNW104" s="450"/>
      <c r="FNX104" s="450"/>
      <c r="FNY104" s="450"/>
      <c r="FNZ104" s="450"/>
      <c r="FOA104" s="450"/>
      <c r="FOB104" s="450"/>
      <c r="FOC104" s="450"/>
      <c r="FOD104" s="450"/>
      <c r="FOE104" s="450"/>
      <c r="FOF104" s="450"/>
      <c r="FOG104" s="450"/>
      <c r="FOH104" s="450"/>
      <c r="FOI104" s="450"/>
      <c r="FOJ104" s="450"/>
      <c r="FOK104" s="450"/>
      <c r="FOL104" s="450"/>
      <c r="FOM104" s="450"/>
      <c r="FON104" s="450"/>
      <c r="FOO104" s="450"/>
      <c r="FOP104" s="450"/>
      <c r="FOQ104" s="450"/>
      <c r="FOR104" s="450"/>
      <c r="FOS104" s="450"/>
      <c r="FOT104" s="450"/>
      <c r="FOU104" s="450"/>
      <c r="FOV104" s="450"/>
      <c r="FOW104" s="450"/>
      <c r="FOX104" s="450"/>
      <c r="FOY104" s="450"/>
      <c r="FOZ104" s="450"/>
      <c r="FPA104" s="450"/>
      <c r="FPB104" s="450"/>
      <c r="FPC104" s="450"/>
      <c r="FPD104" s="450"/>
      <c r="FPE104" s="450"/>
      <c r="FPF104" s="450"/>
      <c r="FPG104" s="450"/>
      <c r="FPH104" s="450"/>
      <c r="FPI104" s="450"/>
      <c r="FPJ104" s="450"/>
      <c r="FPK104" s="450"/>
      <c r="FPL104" s="450"/>
      <c r="FPM104" s="450"/>
      <c r="FPN104" s="450"/>
      <c r="FPO104" s="450"/>
      <c r="FPP104" s="450"/>
      <c r="FPQ104" s="450"/>
      <c r="FPR104" s="450"/>
      <c r="FPS104" s="450"/>
      <c r="FPT104" s="450"/>
      <c r="FPU104" s="450"/>
      <c r="FPV104" s="450"/>
      <c r="FPW104" s="450"/>
      <c r="FPX104" s="450"/>
      <c r="FPY104" s="450"/>
      <c r="FPZ104" s="450"/>
      <c r="FQA104" s="450"/>
      <c r="FQB104" s="450"/>
      <c r="FQC104" s="450"/>
      <c r="FQD104" s="450"/>
      <c r="FQE104" s="450"/>
      <c r="FQF104" s="450"/>
      <c r="FQG104" s="450"/>
      <c r="FQH104" s="450"/>
      <c r="FQI104" s="450"/>
      <c r="FQJ104" s="450"/>
      <c r="FQK104" s="450"/>
      <c r="FQL104" s="450"/>
      <c r="FQM104" s="450"/>
      <c r="FQN104" s="450"/>
      <c r="FQO104" s="450"/>
      <c r="FQP104" s="450"/>
      <c r="FQQ104" s="450"/>
      <c r="FQR104" s="450"/>
      <c r="FQS104" s="450"/>
      <c r="FQT104" s="450"/>
      <c r="FQU104" s="450"/>
      <c r="FQV104" s="450"/>
      <c r="FQW104" s="450"/>
      <c r="FQX104" s="450"/>
      <c r="FQY104" s="450"/>
      <c r="FQZ104" s="450"/>
      <c r="FRA104" s="450"/>
      <c r="FRB104" s="450"/>
      <c r="FRC104" s="450"/>
      <c r="FRD104" s="450"/>
      <c r="FRE104" s="450"/>
      <c r="FRF104" s="450"/>
      <c r="FRG104" s="450"/>
      <c r="FRH104" s="450"/>
      <c r="FRI104" s="450"/>
      <c r="FRJ104" s="450"/>
      <c r="FRK104" s="450"/>
      <c r="FRL104" s="450"/>
      <c r="FRM104" s="450"/>
      <c r="FRN104" s="450"/>
      <c r="FRO104" s="450"/>
      <c r="FRP104" s="450"/>
      <c r="FRQ104" s="450"/>
      <c r="FRR104" s="450"/>
      <c r="FRS104" s="450"/>
      <c r="FRT104" s="450"/>
      <c r="FRU104" s="450"/>
      <c r="FRV104" s="450"/>
      <c r="FRW104" s="450"/>
      <c r="FRX104" s="450"/>
      <c r="FRY104" s="450"/>
      <c r="FRZ104" s="450"/>
      <c r="FSA104" s="450"/>
      <c r="FSB104" s="450"/>
      <c r="FSC104" s="450"/>
      <c r="FSD104" s="450"/>
      <c r="FSE104" s="450"/>
      <c r="FSF104" s="450"/>
      <c r="FSG104" s="450"/>
      <c r="FSH104" s="450"/>
      <c r="FSI104" s="450"/>
      <c r="FSJ104" s="450"/>
      <c r="FSK104" s="450"/>
      <c r="FSL104" s="450"/>
      <c r="FSM104" s="450"/>
      <c r="FSN104" s="450"/>
      <c r="FSO104" s="450"/>
      <c r="FSP104" s="450"/>
      <c r="FSQ104" s="450"/>
      <c r="FSR104" s="450"/>
      <c r="FSS104" s="450"/>
      <c r="FST104" s="450"/>
      <c r="FSU104" s="450"/>
      <c r="FSV104" s="450"/>
      <c r="FSW104" s="450"/>
      <c r="FSX104" s="450"/>
      <c r="FSY104" s="450"/>
      <c r="FSZ104" s="450"/>
      <c r="FTA104" s="450"/>
      <c r="FTB104" s="450"/>
      <c r="FTC104" s="450"/>
      <c r="FTD104" s="450"/>
      <c r="FTE104" s="450"/>
      <c r="FTF104" s="450"/>
      <c r="FTG104" s="450"/>
      <c r="FTH104" s="450"/>
      <c r="FTI104" s="450"/>
      <c r="FTJ104" s="450"/>
      <c r="FTK104" s="450"/>
      <c r="FTL104" s="450"/>
      <c r="FTM104" s="450"/>
      <c r="FTN104" s="450"/>
      <c r="FTO104" s="450"/>
      <c r="FTP104" s="450"/>
      <c r="FTQ104" s="450"/>
      <c r="FTR104" s="450"/>
      <c r="FTS104" s="450"/>
      <c r="FTT104" s="450"/>
      <c r="FTU104" s="450"/>
      <c r="FTV104" s="450"/>
      <c r="FTW104" s="450"/>
      <c r="FTX104" s="450"/>
      <c r="FTY104" s="450"/>
      <c r="FTZ104" s="450"/>
      <c r="FUA104" s="450"/>
      <c r="FUB104" s="450"/>
      <c r="FUC104" s="450"/>
      <c r="FUD104" s="450"/>
      <c r="FUE104" s="450"/>
      <c r="FUF104" s="450"/>
      <c r="FUG104" s="450"/>
      <c r="FUH104" s="450"/>
      <c r="FUI104" s="450"/>
      <c r="FUJ104" s="450"/>
      <c r="FUK104" s="450"/>
      <c r="FUL104" s="450"/>
      <c r="FUM104" s="450"/>
      <c r="FUN104" s="450"/>
      <c r="FUO104" s="450"/>
      <c r="FUP104" s="450"/>
      <c r="FUQ104" s="450"/>
      <c r="FUR104" s="450"/>
      <c r="FUS104" s="450"/>
      <c r="FUT104" s="450"/>
      <c r="FUU104" s="450"/>
      <c r="FUV104" s="450"/>
      <c r="FUW104" s="450"/>
      <c r="FUX104" s="450"/>
      <c r="FUY104" s="450"/>
      <c r="FUZ104" s="450"/>
      <c r="FVA104" s="450"/>
      <c r="FVB104" s="450"/>
      <c r="FVC104" s="450"/>
      <c r="FVD104" s="450"/>
      <c r="FVE104" s="450"/>
      <c r="FVF104" s="450"/>
      <c r="FVG104" s="450"/>
      <c r="FVH104" s="450"/>
      <c r="FVI104" s="450"/>
      <c r="FVJ104" s="450"/>
      <c r="FVK104" s="450"/>
      <c r="FVL104" s="450"/>
      <c r="FVM104" s="450"/>
      <c r="FVN104" s="450"/>
      <c r="FVO104" s="450"/>
      <c r="FVP104" s="450"/>
      <c r="FVQ104" s="450"/>
      <c r="FVR104" s="450"/>
      <c r="FVS104" s="450"/>
      <c r="FVT104" s="450"/>
      <c r="FVU104" s="450"/>
      <c r="FVV104" s="450"/>
      <c r="FVW104" s="450"/>
      <c r="FVX104" s="450"/>
      <c r="FVY104" s="450"/>
      <c r="FVZ104" s="450"/>
      <c r="FWA104" s="450"/>
      <c r="FWB104" s="450"/>
      <c r="FWC104" s="450"/>
      <c r="FWD104" s="450"/>
      <c r="FWE104" s="450"/>
      <c r="FWF104" s="450"/>
      <c r="FWG104" s="450"/>
      <c r="FWH104" s="450"/>
      <c r="FWI104" s="450"/>
      <c r="FWJ104" s="450"/>
      <c r="FWK104" s="450"/>
      <c r="FWL104" s="450"/>
      <c r="FWM104" s="450"/>
      <c r="FWN104" s="450"/>
      <c r="FWO104" s="450"/>
      <c r="FWP104" s="450"/>
      <c r="FWQ104" s="450"/>
      <c r="FWR104" s="450"/>
      <c r="FWS104" s="450"/>
      <c r="FWT104" s="450"/>
      <c r="FWU104" s="450"/>
      <c r="FWV104" s="450"/>
      <c r="FWW104" s="450"/>
      <c r="FWX104" s="450"/>
      <c r="FWY104" s="450"/>
      <c r="FWZ104" s="450"/>
      <c r="FXA104" s="450"/>
      <c r="FXB104" s="450"/>
      <c r="FXC104" s="450"/>
      <c r="FXD104" s="450"/>
      <c r="FXE104" s="450"/>
      <c r="FXF104" s="450"/>
      <c r="FXG104" s="450"/>
      <c r="FXH104" s="450"/>
      <c r="FXI104" s="450"/>
      <c r="FXJ104" s="450"/>
      <c r="FXK104" s="450"/>
      <c r="FXL104" s="450"/>
      <c r="FXM104" s="450"/>
      <c r="FXN104" s="450"/>
      <c r="FXO104" s="450"/>
      <c r="FXP104" s="450"/>
      <c r="FXQ104" s="450"/>
      <c r="FXR104" s="450"/>
      <c r="FXS104" s="450"/>
      <c r="FXT104" s="450"/>
      <c r="FXU104" s="450"/>
      <c r="FXV104" s="450"/>
      <c r="FXW104" s="450"/>
      <c r="FXX104" s="450"/>
      <c r="FXY104" s="450"/>
      <c r="FXZ104" s="450"/>
      <c r="FYA104" s="450"/>
      <c r="FYB104" s="450"/>
      <c r="FYC104" s="450"/>
      <c r="FYD104" s="450"/>
      <c r="FYE104" s="450"/>
      <c r="FYF104" s="450"/>
      <c r="FYG104" s="450"/>
      <c r="FYH104" s="450"/>
      <c r="FYI104" s="450"/>
      <c r="FYJ104" s="450"/>
      <c r="FYK104" s="450"/>
      <c r="FYL104" s="450"/>
      <c r="FYM104" s="450"/>
      <c r="FYN104" s="450"/>
      <c r="FYO104" s="450"/>
      <c r="FYP104" s="450"/>
      <c r="FYQ104" s="450"/>
      <c r="FYR104" s="450"/>
      <c r="FYS104" s="450"/>
      <c r="FYT104" s="450"/>
      <c r="FYU104" s="450"/>
      <c r="FYV104" s="450"/>
      <c r="FYW104" s="450"/>
      <c r="FYX104" s="450"/>
      <c r="FYY104" s="450"/>
      <c r="FYZ104" s="450"/>
      <c r="FZA104" s="450"/>
      <c r="FZB104" s="450"/>
      <c r="FZC104" s="450"/>
      <c r="FZD104" s="450"/>
      <c r="FZE104" s="450"/>
      <c r="FZF104" s="450"/>
      <c r="FZG104" s="450"/>
      <c r="FZH104" s="450"/>
      <c r="FZI104" s="450"/>
      <c r="FZJ104" s="450"/>
      <c r="FZK104" s="450"/>
      <c r="FZL104" s="450"/>
      <c r="FZM104" s="450"/>
      <c r="FZN104" s="450"/>
      <c r="FZO104" s="450"/>
      <c r="FZP104" s="450"/>
      <c r="FZQ104" s="450"/>
      <c r="FZR104" s="450"/>
      <c r="FZS104" s="450"/>
      <c r="FZT104" s="450"/>
      <c r="FZU104" s="450"/>
      <c r="FZV104" s="450"/>
      <c r="FZW104" s="450"/>
      <c r="FZX104" s="450"/>
      <c r="FZY104" s="450"/>
      <c r="FZZ104" s="450"/>
      <c r="GAA104" s="450"/>
      <c r="GAB104" s="450"/>
      <c r="GAC104" s="450"/>
      <c r="GAD104" s="450"/>
      <c r="GAE104" s="450"/>
      <c r="GAF104" s="450"/>
      <c r="GAG104" s="450"/>
      <c r="GAH104" s="450"/>
      <c r="GAI104" s="450"/>
      <c r="GAJ104" s="450"/>
      <c r="GAK104" s="450"/>
      <c r="GAL104" s="450"/>
      <c r="GAM104" s="450"/>
      <c r="GAN104" s="450"/>
      <c r="GAO104" s="450"/>
      <c r="GAP104" s="450"/>
      <c r="GAQ104" s="450"/>
      <c r="GAR104" s="450"/>
      <c r="GAS104" s="450"/>
      <c r="GAT104" s="450"/>
      <c r="GAU104" s="450"/>
      <c r="GAV104" s="450"/>
      <c r="GAW104" s="450"/>
      <c r="GAX104" s="450"/>
      <c r="GAY104" s="450"/>
      <c r="GAZ104" s="450"/>
      <c r="GBA104" s="450"/>
      <c r="GBB104" s="450"/>
      <c r="GBC104" s="450"/>
      <c r="GBD104" s="450"/>
      <c r="GBE104" s="450"/>
      <c r="GBF104" s="450"/>
      <c r="GBG104" s="450"/>
      <c r="GBH104" s="450"/>
      <c r="GBI104" s="450"/>
      <c r="GBJ104" s="450"/>
      <c r="GBK104" s="450"/>
      <c r="GBL104" s="450"/>
      <c r="GBM104" s="450"/>
      <c r="GBN104" s="450"/>
      <c r="GBO104" s="450"/>
      <c r="GBP104" s="450"/>
      <c r="GBQ104" s="450"/>
      <c r="GBR104" s="450"/>
      <c r="GBS104" s="450"/>
      <c r="GBT104" s="450"/>
      <c r="GBU104" s="450"/>
      <c r="GBV104" s="450"/>
      <c r="GBW104" s="450"/>
      <c r="GBX104" s="450"/>
      <c r="GBY104" s="450"/>
      <c r="GBZ104" s="450"/>
      <c r="GCA104" s="450"/>
      <c r="GCB104" s="450"/>
      <c r="GCC104" s="450"/>
      <c r="GCD104" s="450"/>
      <c r="GCE104" s="450"/>
      <c r="GCF104" s="450"/>
      <c r="GCG104" s="450"/>
      <c r="GCH104" s="450"/>
      <c r="GCI104" s="450"/>
      <c r="GCJ104" s="450"/>
      <c r="GCK104" s="450"/>
      <c r="GCL104" s="450"/>
      <c r="GCM104" s="450"/>
      <c r="GCN104" s="450"/>
      <c r="GCO104" s="450"/>
      <c r="GCP104" s="450"/>
      <c r="GCQ104" s="450"/>
      <c r="GCR104" s="450"/>
      <c r="GCS104" s="450"/>
      <c r="GCT104" s="450"/>
      <c r="GCU104" s="450"/>
      <c r="GCV104" s="450"/>
      <c r="GCW104" s="450"/>
      <c r="GCX104" s="450"/>
      <c r="GCY104" s="450"/>
      <c r="GCZ104" s="450"/>
      <c r="GDA104" s="450"/>
      <c r="GDB104" s="450"/>
      <c r="GDC104" s="450"/>
      <c r="GDD104" s="450"/>
      <c r="GDE104" s="450"/>
      <c r="GDF104" s="450"/>
      <c r="GDG104" s="450"/>
      <c r="GDH104" s="450"/>
      <c r="GDI104" s="450"/>
      <c r="GDJ104" s="450"/>
      <c r="GDK104" s="450"/>
      <c r="GDL104" s="450"/>
      <c r="GDM104" s="450"/>
      <c r="GDN104" s="450"/>
      <c r="GDO104" s="450"/>
      <c r="GDP104" s="450"/>
      <c r="GDQ104" s="450"/>
      <c r="GDR104" s="450"/>
      <c r="GDS104" s="450"/>
      <c r="GDT104" s="450"/>
      <c r="GDU104" s="450"/>
      <c r="GDV104" s="450"/>
      <c r="GDW104" s="450"/>
      <c r="GDX104" s="450"/>
      <c r="GDY104" s="450"/>
      <c r="GDZ104" s="450"/>
      <c r="GEA104" s="450"/>
      <c r="GEB104" s="450"/>
      <c r="GEC104" s="450"/>
      <c r="GED104" s="450"/>
      <c r="GEE104" s="450"/>
      <c r="GEF104" s="450"/>
      <c r="GEG104" s="450"/>
      <c r="GEH104" s="450"/>
      <c r="GEI104" s="450"/>
      <c r="GEJ104" s="450"/>
      <c r="GEK104" s="450"/>
      <c r="GEL104" s="450"/>
      <c r="GEM104" s="450"/>
      <c r="GEN104" s="450"/>
      <c r="GEO104" s="450"/>
      <c r="GEP104" s="450"/>
      <c r="GEQ104" s="450"/>
      <c r="GER104" s="450"/>
      <c r="GES104" s="450"/>
      <c r="GET104" s="450"/>
      <c r="GEU104" s="450"/>
      <c r="GEV104" s="450"/>
      <c r="GEW104" s="450"/>
      <c r="GEX104" s="450"/>
      <c r="GEY104" s="450"/>
      <c r="GEZ104" s="450"/>
      <c r="GFA104" s="450"/>
      <c r="GFB104" s="450"/>
      <c r="GFC104" s="450"/>
      <c r="GFD104" s="450"/>
      <c r="GFE104" s="450"/>
      <c r="GFF104" s="450"/>
      <c r="GFG104" s="450"/>
      <c r="GFH104" s="450"/>
      <c r="GFI104" s="450"/>
      <c r="GFJ104" s="450"/>
      <c r="GFK104" s="450"/>
      <c r="GFL104" s="450"/>
      <c r="GFM104" s="450"/>
      <c r="GFN104" s="450"/>
      <c r="GFO104" s="450"/>
      <c r="GFP104" s="450"/>
      <c r="GFQ104" s="450"/>
      <c r="GFR104" s="450"/>
      <c r="GFS104" s="450"/>
      <c r="GFT104" s="450"/>
      <c r="GFU104" s="450"/>
      <c r="GFV104" s="450"/>
      <c r="GFW104" s="450"/>
      <c r="GFX104" s="450"/>
      <c r="GFY104" s="450"/>
      <c r="GFZ104" s="450"/>
      <c r="GGA104" s="450"/>
      <c r="GGB104" s="450"/>
      <c r="GGC104" s="450"/>
      <c r="GGD104" s="450"/>
      <c r="GGE104" s="450"/>
      <c r="GGF104" s="450"/>
      <c r="GGG104" s="450"/>
      <c r="GGH104" s="450"/>
      <c r="GGI104" s="450"/>
      <c r="GGJ104" s="450"/>
      <c r="GGK104" s="450"/>
      <c r="GGL104" s="450"/>
      <c r="GGM104" s="450"/>
      <c r="GGN104" s="450"/>
      <c r="GGO104" s="450"/>
      <c r="GGP104" s="450"/>
      <c r="GGQ104" s="450"/>
      <c r="GGR104" s="450"/>
      <c r="GGS104" s="450"/>
      <c r="GGT104" s="450"/>
      <c r="GGU104" s="450"/>
      <c r="GGV104" s="450"/>
      <c r="GGW104" s="450"/>
      <c r="GGX104" s="450"/>
      <c r="GGY104" s="450"/>
      <c r="GGZ104" s="450"/>
      <c r="GHA104" s="450"/>
      <c r="GHB104" s="450"/>
      <c r="GHC104" s="450"/>
      <c r="GHD104" s="450"/>
      <c r="GHE104" s="450"/>
      <c r="GHF104" s="450"/>
      <c r="GHG104" s="450"/>
      <c r="GHH104" s="450"/>
      <c r="GHI104" s="450"/>
      <c r="GHJ104" s="450"/>
      <c r="GHK104" s="450"/>
      <c r="GHL104" s="450"/>
      <c r="GHM104" s="450"/>
      <c r="GHN104" s="450"/>
      <c r="GHO104" s="450"/>
      <c r="GHP104" s="450"/>
      <c r="GHQ104" s="450"/>
      <c r="GHR104" s="450"/>
      <c r="GHS104" s="450"/>
      <c r="GHT104" s="450"/>
      <c r="GHU104" s="450"/>
      <c r="GHV104" s="450"/>
      <c r="GHW104" s="450"/>
      <c r="GHX104" s="450"/>
      <c r="GHY104" s="450"/>
      <c r="GHZ104" s="450"/>
      <c r="GIA104" s="450"/>
      <c r="GIB104" s="450"/>
      <c r="GIC104" s="450"/>
      <c r="GID104" s="450"/>
      <c r="GIE104" s="450"/>
      <c r="GIF104" s="450"/>
      <c r="GIG104" s="450"/>
      <c r="GIH104" s="450"/>
      <c r="GII104" s="450"/>
      <c r="GIJ104" s="450"/>
      <c r="GIK104" s="450"/>
      <c r="GIL104" s="450"/>
      <c r="GIM104" s="450"/>
      <c r="GIN104" s="450"/>
      <c r="GIO104" s="450"/>
      <c r="GIP104" s="450"/>
      <c r="GIQ104" s="450"/>
      <c r="GIR104" s="450"/>
      <c r="GIS104" s="450"/>
      <c r="GIT104" s="450"/>
      <c r="GIU104" s="450"/>
      <c r="GIV104" s="450"/>
      <c r="GIW104" s="450"/>
      <c r="GIX104" s="450"/>
      <c r="GIY104" s="450"/>
      <c r="GIZ104" s="450"/>
      <c r="GJA104" s="450"/>
      <c r="GJB104" s="450"/>
      <c r="GJC104" s="450"/>
      <c r="GJD104" s="450"/>
      <c r="GJE104" s="450"/>
      <c r="GJF104" s="450"/>
      <c r="GJG104" s="450"/>
      <c r="GJH104" s="450"/>
      <c r="GJI104" s="450"/>
      <c r="GJJ104" s="450"/>
      <c r="GJK104" s="450"/>
      <c r="GJL104" s="450"/>
      <c r="GJM104" s="450"/>
      <c r="GJN104" s="450"/>
      <c r="GJO104" s="450"/>
      <c r="GJP104" s="450"/>
      <c r="GJQ104" s="450"/>
      <c r="GJR104" s="450"/>
      <c r="GJS104" s="450"/>
      <c r="GJT104" s="450"/>
      <c r="GJU104" s="450"/>
      <c r="GJV104" s="450"/>
      <c r="GJW104" s="450"/>
      <c r="GJX104" s="450"/>
      <c r="GJY104" s="450"/>
      <c r="GJZ104" s="450"/>
      <c r="GKA104" s="450"/>
      <c r="GKB104" s="450"/>
      <c r="GKC104" s="450"/>
      <c r="GKD104" s="450"/>
      <c r="GKE104" s="450"/>
      <c r="GKF104" s="450"/>
      <c r="GKG104" s="450"/>
      <c r="GKH104" s="450"/>
      <c r="GKI104" s="450"/>
      <c r="GKJ104" s="450"/>
      <c r="GKK104" s="450"/>
      <c r="GKL104" s="450"/>
      <c r="GKM104" s="450"/>
      <c r="GKN104" s="450"/>
      <c r="GKO104" s="450"/>
      <c r="GKP104" s="450"/>
      <c r="GKQ104" s="450"/>
      <c r="GKR104" s="450"/>
      <c r="GKS104" s="450"/>
      <c r="GKT104" s="450"/>
      <c r="GKU104" s="450"/>
      <c r="GKV104" s="450"/>
      <c r="GKW104" s="450"/>
      <c r="GKX104" s="450"/>
      <c r="GKY104" s="450"/>
      <c r="GKZ104" s="450"/>
      <c r="GLA104" s="450"/>
      <c r="GLB104" s="450"/>
      <c r="GLC104" s="450"/>
      <c r="GLD104" s="450"/>
      <c r="GLE104" s="450"/>
      <c r="GLF104" s="450"/>
      <c r="GLG104" s="450"/>
      <c r="GLH104" s="450"/>
      <c r="GLI104" s="450"/>
      <c r="GLJ104" s="450"/>
      <c r="GLK104" s="450"/>
      <c r="GLL104" s="450"/>
      <c r="GLM104" s="450"/>
      <c r="GLN104" s="450"/>
      <c r="GLO104" s="450"/>
      <c r="GLP104" s="450"/>
      <c r="GLQ104" s="450"/>
      <c r="GLR104" s="450"/>
      <c r="GLS104" s="450"/>
      <c r="GLT104" s="450"/>
      <c r="GLU104" s="450"/>
      <c r="GLV104" s="450"/>
      <c r="GLW104" s="450"/>
      <c r="GLX104" s="450"/>
      <c r="GLY104" s="450"/>
      <c r="GLZ104" s="450"/>
      <c r="GMA104" s="450"/>
      <c r="GMB104" s="450"/>
      <c r="GMC104" s="450"/>
      <c r="GMD104" s="450"/>
      <c r="GME104" s="450"/>
      <c r="GMF104" s="450"/>
      <c r="GMG104" s="450"/>
      <c r="GMH104" s="450"/>
      <c r="GMI104" s="450"/>
      <c r="GMJ104" s="450"/>
      <c r="GMK104" s="450"/>
      <c r="GML104" s="450"/>
      <c r="GMM104" s="450"/>
      <c r="GMN104" s="450"/>
      <c r="GMO104" s="450"/>
      <c r="GMP104" s="450"/>
      <c r="GMQ104" s="450"/>
      <c r="GMR104" s="450"/>
      <c r="GMS104" s="450"/>
      <c r="GMT104" s="450"/>
      <c r="GMU104" s="450"/>
      <c r="GMV104" s="450"/>
      <c r="GMW104" s="450"/>
      <c r="GMX104" s="450"/>
      <c r="GMY104" s="450"/>
      <c r="GMZ104" s="450"/>
      <c r="GNA104" s="450"/>
      <c r="GNB104" s="450"/>
      <c r="GNC104" s="450"/>
      <c r="GND104" s="450"/>
      <c r="GNE104" s="450"/>
      <c r="GNF104" s="450"/>
      <c r="GNG104" s="450"/>
      <c r="GNH104" s="450"/>
      <c r="GNI104" s="450"/>
      <c r="GNJ104" s="450"/>
      <c r="GNK104" s="450"/>
      <c r="GNL104" s="450"/>
      <c r="GNM104" s="450"/>
      <c r="GNN104" s="450"/>
      <c r="GNO104" s="450"/>
      <c r="GNP104" s="450"/>
      <c r="GNQ104" s="450"/>
      <c r="GNR104" s="450"/>
      <c r="GNS104" s="450"/>
      <c r="GNT104" s="450"/>
      <c r="GNU104" s="450"/>
      <c r="GNV104" s="450"/>
      <c r="GNW104" s="450"/>
      <c r="GNX104" s="450"/>
      <c r="GNY104" s="450"/>
      <c r="GNZ104" s="450"/>
      <c r="GOA104" s="450"/>
      <c r="GOB104" s="450"/>
      <c r="GOC104" s="450"/>
      <c r="GOD104" s="450"/>
      <c r="GOE104" s="450"/>
      <c r="GOF104" s="450"/>
      <c r="GOG104" s="450"/>
      <c r="GOH104" s="450"/>
      <c r="GOI104" s="450"/>
      <c r="GOJ104" s="450"/>
      <c r="GOK104" s="450"/>
      <c r="GOL104" s="450"/>
      <c r="GOM104" s="450"/>
      <c r="GON104" s="450"/>
      <c r="GOO104" s="450"/>
      <c r="GOP104" s="450"/>
      <c r="GOQ104" s="450"/>
      <c r="GOR104" s="450"/>
      <c r="GOS104" s="450"/>
      <c r="GOT104" s="450"/>
      <c r="GOU104" s="450"/>
      <c r="GOV104" s="450"/>
      <c r="GOW104" s="450"/>
      <c r="GOX104" s="450"/>
      <c r="GOY104" s="450"/>
      <c r="GOZ104" s="450"/>
      <c r="GPA104" s="450"/>
      <c r="GPB104" s="450"/>
      <c r="GPC104" s="450"/>
      <c r="GPD104" s="450"/>
      <c r="GPE104" s="450"/>
      <c r="GPF104" s="450"/>
      <c r="GPG104" s="450"/>
      <c r="GPH104" s="450"/>
      <c r="GPI104" s="450"/>
      <c r="GPJ104" s="450"/>
      <c r="GPK104" s="450"/>
      <c r="GPL104" s="450"/>
      <c r="GPM104" s="450"/>
      <c r="GPN104" s="450"/>
      <c r="GPO104" s="450"/>
      <c r="GPP104" s="450"/>
      <c r="GPQ104" s="450"/>
      <c r="GPR104" s="450"/>
      <c r="GPS104" s="450"/>
      <c r="GPT104" s="450"/>
      <c r="GPU104" s="450"/>
      <c r="GPV104" s="450"/>
      <c r="GPW104" s="450"/>
      <c r="GPX104" s="450"/>
      <c r="GPY104" s="450"/>
      <c r="GPZ104" s="450"/>
      <c r="GQA104" s="450"/>
      <c r="GQB104" s="450"/>
      <c r="GQC104" s="450"/>
      <c r="GQD104" s="450"/>
      <c r="GQE104" s="450"/>
      <c r="GQF104" s="450"/>
      <c r="GQG104" s="450"/>
      <c r="GQH104" s="450"/>
      <c r="GQI104" s="450"/>
      <c r="GQJ104" s="450"/>
      <c r="GQK104" s="450"/>
      <c r="GQL104" s="450"/>
      <c r="GQM104" s="450"/>
      <c r="GQN104" s="450"/>
      <c r="GQO104" s="450"/>
      <c r="GQP104" s="450"/>
      <c r="GQQ104" s="450"/>
      <c r="GQR104" s="450"/>
      <c r="GQS104" s="450"/>
      <c r="GQT104" s="450"/>
      <c r="GQU104" s="450"/>
      <c r="GQV104" s="450"/>
      <c r="GQW104" s="450"/>
      <c r="GQX104" s="450"/>
      <c r="GQY104" s="450"/>
      <c r="GQZ104" s="450"/>
      <c r="GRA104" s="450"/>
      <c r="GRB104" s="450"/>
      <c r="GRC104" s="450"/>
      <c r="GRD104" s="450"/>
      <c r="GRE104" s="450"/>
      <c r="GRF104" s="450"/>
      <c r="GRG104" s="450"/>
      <c r="GRH104" s="450"/>
      <c r="GRI104" s="450"/>
      <c r="GRJ104" s="450"/>
      <c r="GRK104" s="450"/>
      <c r="GRL104" s="450"/>
      <c r="GRM104" s="450"/>
      <c r="GRN104" s="450"/>
      <c r="GRO104" s="450"/>
      <c r="GRP104" s="450"/>
      <c r="GRQ104" s="450"/>
      <c r="GRR104" s="450"/>
      <c r="GRS104" s="450"/>
      <c r="GRT104" s="450"/>
      <c r="GRU104" s="450"/>
      <c r="GRV104" s="450"/>
      <c r="GRW104" s="450"/>
      <c r="GRX104" s="450"/>
      <c r="GRY104" s="450"/>
      <c r="GRZ104" s="450"/>
      <c r="GSA104" s="450"/>
      <c r="GSB104" s="450"/>
      <c r="GSC104" s="450"/>
      <c r="GSD104" s="450"/>
      <c r="GSE104" s="450"/>
      <c r="GSF104" s="450"/>
      <c r="GSG104" s="450"/>
      <c r="GSH104" s="450"/>
      <c r="GSI104" s="450"/>
      <c r="GSJ104" s="450"/>
      <c r="GSK104" s="450"/>
      <c r="GSL104" s="450"/>
      <c r="GSM104" s="450"/>
      <c r="GSN104" s="450"/>
      <c r="GSO104" s="450"/>
      <c r="GSP104" s="450"/>
      <c r="GSQ104" s="450"/>
      <c r="GSR104" s="450"/>
      <c r="GSS104" s="450"/>
      <c r="GST104" s="450"/>
      <c r="GSU104" s="450"/>
      <c r="GSV104" s="450"/>
      <c r="GSW104" s="450"/>
      <c r="GSX104" s="450"/>
      <c r="GSY104" s="450"/>
      <c r="GSZ104" s="450"/>
      <c r="GTA104" s="450"/>
      <c r="GTB104" s="450"/>
      <c r="GTC104" s="450"/>
      <c r="GTD104" s="450"/>
      <c r="GTE104" s="450"/>
      <c r="GTF104" s="450"/>
      <c r="GTG104" s="450"/>
      <c r="GTH104" s="450"/>
      <c r="GTI104" s="450"/>
      <c r="GTJ104" s="450"/>
      <c r="GTK104" s="450"/>
      <c r="GTL104" s="450"/>
      <c r="GTM104" s="450"/>
      <c r="GTN104" s="450"/>
      <c r="GTO104" s="450"/>
      <c r="GTP104" s="450"/>
      <c r="GTQ104" s="450"/>
      <c r="GTR104" s="450"/>
      <c r="GTS104" s="450"/>
      <c r="GTT104" s="450"/>
      <c r="GTU104" s="450"/>
      <c r="GTV104" s="450"/>
      <c r="GTW104" s="450"/>
      <c r="GTX104" s="450"/>
      <c r="GTY104" s="450"/>
      <c r="GTZ104" s="450"/>
      <c r="GUA104" s="450"/>
      <c r="GUB104" s="450"/>
      <c r="GUC104" s="450"/>
      <c r="GUD104" s="450"/>
      <c r="GUE104" s="450"/>
      <c r="GUF104" s="450"/>
      <c r="GUG104" s="450"/>
      <c r="GUH104" s="450"/>
      <c r="GUI104" s="450"/>
      <c r="GUJ104" s="450"/>
      <c r="GUK104" s="450"/>
      <c r="GUL104" s="450"/>
      <c r="GUM104" s="450"/>
      <c r="GUN104" s="450"/>
      <c r="GUO104" s="450"/>
      <c r="GUP104" s="450"/>
      <c r="GUQ104" s="450"/>
      <c r="GUR104" s="450"/>
      <c r="GUS104" s="450"/>
      <c r="GUT104" s="450"/>
      <c r="GUU104" s="450"/>
      <c r="GUV104" s="450"/>
      <c r="GUW104" s="450"/>
      <c r="GUX104" s="450"/>
      <c r="GUY104" s="450"/>
      <c r="GUZ104" s="450"/>
      <c r="GVA104" s="450"/>
      <c r="GVB104" s="450"/>
      <c r="GVC104" s="450"/>
      <c r="GVD104" s="450"/>
      <c r="GVE104" s="450"/>
      <c r="GVF104" s="450"/>
      <c r="GVG104" s="450"/>
      <c r="GVH104" s="450"/>
      <c r="GVI104" s="450"/>
      <c r="GVJ104" s="450"/>
      <c r="GVK104" s="450"/>
      <c r="GVL104" s="450"/>
      <c r="GVM104" s="450"/>
      <c r="GVN104" s="450"/>
      <c r="GVO104" s="450"/>
      <c r="GVP104" s="450"/>
      <c r="GVQ104" s="450"/>
      <c r="GVR104" s="450"/>
      <c r="GVS104" s="450"/>
      <c r="GVT104" s="450"/>
      <c r="GVU104" s="450"/>
      <c r="GVV104" s="450"/>
      <c r="GVW104" s="450"/>
      <c r="GVX104" s="450"/>
      <c r="GVY104" s="450"/>
      <c r="GVZ104" s="450"/>
      <c r="GWA104" s="450"/>
      <c r="GWB104" s="450"/>
      <c r="GWC104" s="450"/>
      <c r="GWD104" s="450"/>
      <c r="GWE104" s="450"/>
      <c r="GWF104" s="450"/>
      <c r="GWG104" s="450"/>
      <c r="GWH104" s="450"/>
      <c r="GWI104" s="450"/>
      <c r="GWJ104" s="450"/>
      <c r="GWK104" s="450"/>
      <c r="GWL104" s="450"/>
      <c r="GWM104" s="450"/>
      <c r="GWN104" s="450"/>
      <c r="GWO104" s="450"/>
      <c r="GWP104" s="450"/>
      <c r="GWQ104" s="450"/>
      <c r="GWR104" s="450"/>
      <c r="GWS104" s="450"/>
      <c r="GWT104" s="450"/>
      <c r="GWU104" s="450"/>
      <c r="GWV104" s="450"/>
      <c r="GWW104" s="450"/>
      <c r="GWX104" s="450"/>
      <c r="GWY104" s="450"/>
      <c r="GWZ104" s="450"/>
      <c r="GXA104" s="450"/>
      <c r="GXB104" s="450"/>
      <c r="GXC104" s="450"/>
      <c r="GXD104" s="450"/>
      <c r="GXE104" s="450"/>
      <c r="GXF104" s="450"/>
      <c r="GXG104" s="450"/>
      <c r="GXH104" s="450"/>
      <c r="GXI104" s="450"/>
      <c r="GXJ104" s="450"/>
      <c r="GXK104" s="450"/>
      <c r="GXL104" s="450"/>
      <c r="GXM104" s="450"/>
      <c r="GXN104" s="450"/>
      <c r="GXO104" s="450"/>
      <c r="GXP104" s="450"/>
      <c r="GXQ104" s="450"/>
      <c r="GXR104" s="450"/>
      <c r="GXS104" s="450"/>
      <c r="GXT104" s="450"/>
      <c r="GXU104" s="450"/>
      <c r="GXV104" s="450"/>
      <c r="GXW104" s="450"/>
      <c r="GXX104" s="450"/>
      <c r="GXY104" s="450"/>
      <c r="GXZ104" s="450"/>
      <c r="GYA104" s="450"/>
      <c r="GYB104" s="450"/>
      <c r="GYC104" s="450"/>
      <c r="GYD104" s="450"/>
      <c r="GYE104" s="450"/>
      <c r="GYF104" s="450"/>
      <c r="GYG104" s="450"/>
      <c r="GYH104" s="450"/>
      <c r="GYI104" s="450"/>
      <c r="GYJ104" s="450"/>
      <c r="GYK104" s="450"/>
      <c r="GYL104" s="450"/>
      <c r="GYM104" s="450"/>
      <c r="GYN104" s="450"/>
      <c r="GYO104" s="450"/>
      <c r="GYP104" s="450"/>
      <c r="GYQ104" s="450"/>
      <c r="GYR104" s="450"/>
      <c r="GYS104" s="450"/>
      <c r="GYT104" s="450"/>
      <c r="GYU104" s="450"/>
      <c r="GYV104" s="450"/>
      <c r="GYW104" s="450"/>
      <c r="GYX104" s="450"/>
      <c r="GYY104" s="450"/>
      <c r="GYZ104" s="450"/>
      <c r="GZA104" s="450"/>
      <c r="GZB104" s="450"/>
      <c r="GZC104" s="450"/>
      <c r="GZD104" s="450"/>
      <c r="GZE104" s="450"/>
      <c r="GZF104" s="450"/>
      <c r="GZG104" s="450"/>
      <c r="GZH104" s="450"/>
      <c r="GZI104" s="450"/>
      <c r="GZJ104" s="450"/>
      <c r="GZK104" s="450"/>
      <c r="GZL104" s="450"/>
      <c r="GZM104" s="450"/>
      <c r="GZN104" s="450"/>
      <c r="GZO104" s="450"/>
      <c r="GZP104" s="450"/>
      <c r="GZQ104" s="450"/>
      <c r="GZR104" s="450"/>
      <c r="GZS104" s="450"/>
      <c r="GZT104" s="450"/>
      <c r="GZU104" s="450"/>
      <c r="GZV104" s="450"/>
      <c r="GZW104" s="450"/>
      <c r="GZX104" s="450"/>
      <c r="GZY104" s="450"/>
      <c r="GZZ104" s="450"/>
      <c r="HAA104" s="450"/>
      <c r="HAB104" s="450"/>
      <c r="HAC104" s="450"/>
      <c r="HAD104" s="450"/>
      <c r="HAE104" s="450"/>
      <c r="HAF104" s="450"/>
      <c r="HAG104" s="450"/>
      <c r="HAH104" s="450"/>
      <c r="HAI104" s="450"/>
      <c r="HAJ104" s="450"/>
      <c r="HAK104" s="450"/>
      <c r="HAL104" s="450"/>
      <c r="HAM104" s="450"/>
      <c r="HAN104" s="450"/>
      <c r="HAO104" s="450"/>
      <c r="HAP104" s="450"/>
      <c r="HAQ104" s="450"/>
      <c r="HAR104" s="450"/>
      <c r="HAS104" s="450"/>
      <c r="HAT104" s="450"/>
      <c r="HAU104" s="450"/>
      <c r="HAV104" s="450"/>
      <c r="HAW104" s="450"/>
      <c r="HAX104" s="450"/>
      <c r="HAY104" s="450"/>
      <c r="HAZ104" s="450"/>
      <c r="HBA104" s="450"/>
      <c r="HBB104" s="450"/>
      <c r="HBC104" s="450"/>
      <c r="HBD104" s="450"/>
      <c r="HBE104" s="450"/>
      <c r="HBF104" s="450"/>
      <c r="HBG104" s="450"/>
      <c r="HBH104" s="450"/>
      <c r="HBI104" s="450"/>
      <c r="HBJ104" s="450"/>
      <c r="HBK104" s="450"/>
      <c r="HBL104" s="450"/>
      <c r="HBM104" s="450"/>
      <c r="HBN104" s="450"/>
      <c r="HBO104" s="450"/>
      <c r="HBP104" s="450"/>
      <c r="HBQ104" s="450"/>
      <c r="HBR104" s="450"/>
      <c r="HBS104" s="450"/>
      <c r="HBT104" s="450"/>
      <c r="HBU104" s="450"/>
      <c r="HBV104" s="450"/>
      <c r="HBW104" s="450"/>
      <c r="HBX104" s="450"/>
      <c r="HBY104" s="450"/>
      <c r="HBZ104" s="450"/>
      <c r="HCA104" s="450"/>
      <c r="HCB104" s="450"/>
      <c r="HCC104" s="450"/>
      <c r="HCD104" s="450"/>
      <c r="HCE104" s="450"/>
      <c r="HCF104" s="450"/>
      <c r="HCG104" s="450"/>
      <c r="HCH104" s="450"/>
      <c r="HCI104" s="450"/>
      <c r="HCJ104" s="450"/>
      <c r="HCK104" s="450"/>
      <c r="HCL104" s="450"/>
      <c r="HCM104" s="450"/>
      <c r="HCN104" s="450"/>
      <c r="HCO104" s="450"/>
      <c r="HCP104" s="450"/>
      <c r="HCQ104" s="450"/>
      <c r="HCR104" s="450"/>
      <c r="HCS104" s="450"/>
      <c r="HCT104" s="450"/>
      <c r="HCU104" s="450"/>
      <c r="HCV104" s="450"/>
      <c r="HCW104" s="450"/>
      <c r="HCX104" s="450"/>
      <c r="HCY104" s="450"/>
      <c r="HCZ104" s="450"/>
      <c r="HDA104" s="450"/>
      <c r="HDB104" s="450"/>
      <c r="HDC104" s="450"/>
      <c r="HDD104" s="450"/>
      <c r="HDE104" s="450"/>
      <c r="HDF104" s="450"/>
      <c r="HDG104" s="450"/>
      <c r="HDH104" s="450"/>
      <c r="HDI104" s="450"/>
      <c r="HDJ104" s="450"/>
      <c r="HDK104" s="450"/>
      <c r="HDL104" s="450"/>
      <c r="HDM104" s="450"/>
      <c r="HDN104" s="450"/>
      <c r="HDO104" s="450"/>
      <c r="HDP104" s="450"/>
      <c r="HDQ104" s="450"/>
      <c r="HDR104" s="450"/>
      <c r="HDS104" s="450"/>
      <c r="HDT104" s="450"/>
      <c r="HDU104" s="450"/>
      <c r="HDV104" s="450"/>
      <c r="HDW104" s="450"/>
      <c r="HDX104" s="450"/>
      <c r="HDY104" s="450"/>
      <c r="HDZ104" s="450"/>
      <c r="HEA104" s="450"/>
      <c r="HEB104" s="450"/>
      <c r="HEC104" s="450"/>
      <c r="HED104" s="450"/>
      <c r="HEE104" s="450"/>
      <c r="HEF104" s="450"/>
      <c r="HEG104" s="450"/>
      <c r="HEH104" s="450"/>
      <c r="HEI104" s="450"/>
      <c r="HEJ104" s="450"/>
      <c r="HEK104" s="450"/>
      <c r="HEL104" s="450"/>
      <c r="HEM104" s="450"/>
      <c r="HEN104" s="450"/>
      <c r="HEO104" s="450"/>
      <c r="HEP104" s="450"/>
      <c r="HEQ104" s="450"/>
      <c r="HER104" s="450"/>
      <c r="HES104" s="450"/>
      <c r="HET104" s="450"/>
      <c r="HEU104" s="450"/>
      <c r="HEV104" s="450"/>
      <c r="HEW104" s="450"/>
      <c r="HEX104" s="450"/>
      <c r="HEY104" s="450"/>
      <c r="HEZ104" s="450"/>
      <c r="HFA104" s="450"/>
      <c r="HFB104" s="450"/>
      <c r="HFC104" s="450"/>
      <c r="HFD104" s="450"/>
      <c r="HFE104" s="450"/>
      <c r="HFF104" s="450"/>
      <c r="HFG104" s="450"/>
      <c r="HFH104" s="450"/>
      <c r="HFI104" s="450"/>
      <c r="HFJ104" s="450"/>
      <c r="HFK104" s="450"/>
      <c r="HFL104" s="450"/>
      <c r="HFM104" s="450"/>
      <c r="HFN104" s="450"/>
      <c r="HFO104" s="450"/>
      <c r="HFP104" s="450"/>
      <c r="HFQ104" s="450"/>
      <c r="HFR104" s="450"/>
      <c r="HFS104" s="450"/>
      <c r="HFT104" s="450"/>
      <c r="HFU104" s="450"/>
      <c r="HFV104" s="450"/>
      <c r="HFW104" s="450"/>
      <c r="HFX104" s="450"/>
      <c r="HFY104" s="450"/>
      <c r="HFZ104" s="450"/>
      <c r="HGA104" s="450"/>
      <c r="HGB104" s="450"/>
      <c r="HGC104" s="450"/>
      <c r="HGD104" s="450"/>
      <c r="HGE104" s="450"/>
      <c r="HGF104" s="450"/>
      <c r="HGG104" s="450"/>
      <c r="HGH104" s="450"/>
      <c r="HGI104" s="450"/>
      <c r="HGJ104" s="450"/>
      <c r="HGK104" s="450"/>
      <c r="HGL104" s="450"/>
      <c r="HGM104" s="450"/>
      <c r="HGN104" s="450"/>
      <c r="HGO104" s="450"/>
      <c r="HGP104" s="450"/>
      <c r="HGQ104" s="450"/>
      <c r="HGR104" s="450"/>
      <c r="HGS104" s="450"/>
      <c r="HGT104" s="450"/>
      <c r="HGU104" s="450"/>
      <c r="HGV104" s="450"/>
      <c r="HGW104" s="450"/>
      <c r="HGX104" s="450"/>
      <c r="HGY104" s="450"/>
      <c r="HGZ104" s="450"/>
      <c r="HHA104" s="450"/>
      <c r="HHB104" s="450"/>
      <c r="HHC104" s="450"/>
      <c r="HHD104" s="450"/>
      <c r="HHE104" s="450"/>
      <c r="HHF104" s="450"/>
      <c r="HHG104" s="450"/>
      <c r="HHH104" s="450"/>
      <c r="HHI104" s="450"/>
      <c r="HHJ104" s="450"/>
      <c r="HHK104" s="450"/>
      <c r="HHL104" s="450"/>
      <c r="HHM104" s="450"/>
      <c r="HHN104" s="450"/>
      <c r="HHO104" s="450"/>
      <c r="HHP104" s="450"/>
      <c r="HHQ104" s="450"/>
      <c r="HHR104" s="450"/>
      <c r="HHS104" s="450"/>
      <c r="HHT104" s="450"/>
      <c r="HHU104" s="450"/>
      <c r="HHV104" s="450"/>
      <c r="HHW104" s="450"/>
      <c r="HHX104" s="450"/>
      <c r="HHY104" s="450"/>
      <c r="HHZ104" s="450"/>
      <c r="HIA104" s="450"/>
      <c r="HIB104" s="450"/>
      <c r="HIC104" s="450"/>
      <c r="HID104" s="450"/>
      <c r="HIE104" s="450"/>
      <c r="HIF104" s="450"/>
      <c r="HIG104" s="450"/>
      <c r="HIH104" s="450"/>
      <c r="HII104" s="450"/>
      <c r="HIJ104" s="450"/>
      <c r="HIK104" s="450"/>
      <c r="HIL104" s="450"/>
      <c r="HIM104" s="450"/>
      <c r="HIN104" s="450"/>
      <c r="HIO104" s="450"/>
      <c r="HIP104" s="450"/>
      <c r="HIQ104" s="450"/>
      <c r="HIR104" s="450"/>
      <c r="HIS104" s="450"/>
      <c r="HIT104" s="450"/>
      <c r="HIU104" s="450"/>
      <c r="HIV104" s="450"/>
      <c r="HIW104" s="450"/>
      <c r="HIX104" s="450"/>
      <c r="HIY104" s="450"/>
      <c r="HIZ104" s="450"/>
      <c r="HJA104" s="450"/>
      <c r="HJB104" s="450"/>
      <c r="HJC104" s="450"/>
      <c r="HJD104" s="450"/>
      <c r="HJE104" s="450"/>
      <c r="HJF104" s="450"/>
      <c r="HJG104" s="450"/>
      <c r="HJH104" s="450"/>
      <c r="HJI104" s="450"/>
      <c r="HJJ104" s="450"/>
      <c r="HJK104" s="450"/>
      <c r="HJL104" s="450"/>
      <c r="HJM104" s="450"/>
      <c r="HJN104" s="450"/>
      <c r="HJO104" s="450"/>
      <c r="HJP104" s="450"/>
      <c r="HJQ104" s="450"/>
      <c r="HJR104" s="450"/>
      <c r="HJS104" s="450"/>
      <c r="HJT104" s="450"/>
      <c r="HJU104" s="450"/>
      <c r="HJV104" s="450"/>
      <c r="HJW104" s="450"/>
      <c r="HJX104" s="450"/>
      <c r="HJY104" s="450"/>
      <c r="HJZ104" s="450"/>
      <c r="HKA104" s="450"/>
      <c r="HKB104" s="450"/>
      <c r="HKC104" s="450"/>
      <c r="HKD104" s="450"/>
      <c r="HKE104" s="450"/>
      <c r="HKF104" s="450"/>
      <c r="HKG104" s="450"/>
      <c r="HKH104" s="450"/>
      <c r="HKI104" s="450"/>
      <c r="HKJ104" s="450"/>
      <c r="HKK104" s="450"/>
      <c r="HKL104" s="450"/>
      <c r="HKM104" s="450"/>
      <c r="HKN104" s="450"/>
      <c r="HKO104" s="450"/>
      <c r="HKP104" s="450"/>
      <c r="HKQ104" s="450"/>
      <c r="HKR104" s="450"/>
      <c r="HKS104" s="450"/>
      <c r="HKT104" s="450"/>
      <c r="HKU104" s="450"/>
      <c r="HKV104" s="450"/>
      <c r="HKW104" s="450"/>
      <c r="HKX104" s="450"/>
      <c r="HKY104" s="450"/>
      <c r="HKZ104" s="450"/>
      <c r="HLA104" s="450"/>
      <c r="HLB104" s="450"/>
      <c r="HLC104" s="450"/>
      <c r="HLD104" s="450"/>
      <c r="HLE104" s="450"/>
      <c r="HLF104" s="450"/>
      <c r="HLG104" s="450"/>
      <c r="HLH104" s="450"/>
      <c r="HLI104" s="450"/>
      <c r="HLJ104" s="450"/>
      <c r="HLK104" s="450"/>
      <c r="HLL104" s="450"/>
      <c r="HLM104" s="450"/>
      <c r="HLN104" s="450"/>
      <c r="HLO104" s="450"/>
      <c r="HLP104" s="450"/>
      <c r="HLQ104" s="450"/>
      <c r="HLR104" s="450"/>
      <c r="HLS104" s="450"/>
      <c r="HLT104" s="450"/>
      <c r="HLU104" s="450"/>
      <c r="HLV104" s="450"/>
      <c r="HLW104" s="450"/>
      <c r="HLX104" s="450"/>
      <c r="HLY104" s="450"/>
      <c r="HLZ104" s="450"/>
      <c r="HMA104" s="450"/>
      <c r="HMB104" s="450"/>
      <c r="HMC104" s="450"/>
      <c r="HMD104" s="450"/>
      <c r="HME104" s="450"/>
      <c r="HMF104" s="450"/>
      <c r="HMG104" s="450"/>
      <c r="HMH104" s="450"/>
      <c r="HMI104" s="450"/>
      <c r="HMJ104" s="450"/>
      <c r="HMK104" s="450"/>
      <c r="HML104" s="450"/>
      <c r="HMM104" s="450"/>
      <c r="HMN104" s="450"/>
      <c r="HMO104" s="450"/>
      <c r="HMP104" s="450"/>
      <c r="HMQ104" s="450"/>
      <c r="HMR104" s="450"/>
      <c r="HMS104" s="450"/>
      <c r="HMT104" s="450"/>
      <c r="HMU104" s="450"/>
      <c r="HMV104" s="450"/>
      <c r="HMW104" s="450"/>
      <c r="HMX104" s="450"/>
      <c r="HMY104" s="450"/>
      <c r="HMZ104" s="450"/>
      <c r="HNA104" s="450"/>
      <c r="HNB104" s="450"/>
      <c r="HNC104" s="450"/>
      <c r="HND104" s="450"/>
      <c r="HNE104" s="450"/>
      <c r="HNF104" s="450"/>
      <c r="HNG104" s="450"/>
      <c r="HNH104" s="450"/>
      <c r="HNI104" s="450"/>
      <c r="HNJ104" s="450"/>
      <c r="HNK104" s="450"/>
      <c r="HNL104" s="450"/>
      <c r="HNM104" s="450"/>
      <c r="HNN104" s="450"/>
      <c r="HNO104" s="450"/>
      <c r="HNP104" s="450"/>
      <c r="HNQ104" s="450"/>
      <c r="HNR104" s="450"/>
      <c r="HNS104" s="450"/>
      <c r="HNT104" s="450"/>
      <c r="HNU104" s="450"/>
      <c r="HNV104" s="450"/>
      <c r="HNW104" s="450"/>
      <c r="HNX104" s="450"/>
      <c r="HNY104" s="450"/>
      <c r="HNZ104" s="450"/>
      <c r="HOA104" s="450"/>
      <c r="HOB104" s="450"/>
      <c r="HOC104" s="450"/>
      <c r="HOD104" s="450"/>
      <c r="HOE104" s="450"/>
      <c r="HOF104" s="450"/>
      <c r="HOG104" s="450"/>
      <c r="HOH104" s="450"/>
      <c r="HOI104" s="450"/>
      <c r="HOJ104" s="450"/>
      <c r="HOK104" s="450"/>
      <c r="HOL104" s="450"/>
      <c r="HOM104" s="450"/>
      <c r="HON104" s="450"/>
      <c r="HOO104" s="450"/>
      <c r="HOP104" s="450"/>
      <c r="HOQ104" s="450"/>
      <c r="HOR104" s="450"/>
      <c r="HOS104" s="450"/>
      <c r="HOT104" s="450"/>
      <c r="HOU104" s="450"/>
      <c r="HOV104" s="450"/>
      <c r="HOW104" s="450"/>
      <c r="HOX104" s="450"/>
      <c r="HOY104" s="450"/>
      <c r="HOZ104" s="450"/>
      <c r="HPA104" s="450"/>
      <c r="HPB104" s="450"/>
      <c r="HPC104" s="450"/>
      <c r="HPD104" s="450"/>
      <c r="HPE104" s="450"/>
      <c r="HPF104" s="450"/>
      <c r="HPG104" s="450"/>
      <c r="HPH104" s="450"/>
      <c r="HPI104" s="450"/>
      <c r="HPJ104" s="450"/>
      <c r="HPK104" s="450"/>
      <c r="HPL104" s="450"/>
      <c r="HPM104" s="450"/>
      <c r="HPN104" s="450"/>
      <c r="HPO104" s="450"/>
      <c r="HPP104" s="450"/>
      <c r="HPQ104" s="450"/>
      <c r="HPR104" s="450"/>
      <c r="HPS104" s="450"/>
      <c r="HPT104" s="450"/>
      <c r="HPU104" s="450"/>
      <c r="HPV104" s="450"/>
      <c r="HPW104" s="450"/>
      <c r="HPX104" s="450"/>
      <c r="HPY104" s="450"/>
      <c r="HPZ104" s="450"/>
      <c r="HQA104" s="450"/>
      <c r="HQB104" s="450"/>
      <c r="HQC104" s="450"/>
      <c r="HQD104" s="450"/>
      <c r="HQE104" s="450"/>
      <c r="HQF104" s="450"/>
      <c r="HQG104" s="450"/>
      <c r="HQH104" s="450"/>
      <c r="HQI104" s="450"/>
      <c r="HQJ104" s="450"/>
      <c r="HQK104" s="450"/>
      <c r="HQL104" s="450"/>
      <c r="HQM104" s="450"/>
      <c r="HQN104" s="450"/>
      <c r="HQO104" s="450"/>
      <c r="HQP104" s="450"/>
      <c r="HQQ104" s="450"/>
      <c r="HQR104" s="450"/>
      <c r="HQS104" s="450"/>
      <c r="HQT104" s="450"/>
      <c r="HQU104" s="450"/>
      <c r="HQV104" s="450"/>
      <c r="HQW104" s="450"/>
      <c r="HQX104" s="450"/>
      <c r="HQY104" s="450"/>
      <c r="HQZ104" s="450"/>
      <c r="HRA104" s="450"/>
      <c r="HRB104" s="450"/>
      <c r="HRC104" s="450"/>
      <c r="HRD104" s="450"/>
      <c r="HRE104" s="450"/>
      <c r="HRF104" s="450"/>
      <c r="HRG104" s="450"/>
      <c r="HRH104" s="450"/>
      <c r="HRI104" s="450"/>
      <c r="HRJ104" s="450"/>
      <c r="HRK104" s="450"/>
      <c r="HRL104" s="450"/>
      <c r="HRM104" s="450"/>
      <c r="HRN104" s="450"/>
      <c r="HRO104" s="450"/>
      <c r="HRP104" s="450"/>
      <c r="HRQ104" s="450"/>
      <c r="HRR104" s="450"/>
      <c r="HRS104" s="450"/>
      <c r="HRT104" s="450"/>
      <c r="HRU104" s="450"/>
      <c r="HRV104" s="450"/>
      <c r="HRW104" s="450"/>
      <c r="HRX104" s="450"/>
      <c r="HRY104" s="450"/>
      <c r="HRZ104" s="450"/>
      <c r="HSA104" s="450"/>
      <c r="HSB104" s="450"/>
      <c r="HSC104" s="450"/>
      <c r="HSD104" s="450"/>
      <c r="HSE104" s="450"/>
      <c r="HSF104" s="450"/>
      <c r="HSG104" s="450"/>
      <c r="HSH104" s="450"/>
      <c r="HSI104" s="450"/>
      <c r="HSJ104" s="450"/>
      <c r="HSK104" s="450"/>
      <c r="HSL104" s="450"/>
      <c r="HSM104" s="450"/>
      <c r="HSN104" s="450"/>
      <c r="HSO104" s="450"/>
      <c r="HSP104" s="450"/>
      <c r="HSQ104" s="450"/>
      <c r="HSR104" s="450"/>
      <c r="HSS104" s="450"/>
      <c r="HST104" s="450"/>
      <c r="HSU104" s="450"/>
      <c r="HSV104" s="450"/>
      <c r="HSW104" s="450"/>
      <c r="HSX104" s="450"/>
      <c r="HSY104" s="450"/>
      <c r="HSZ104" s="450"/>
      <c r="HTA104" s="450"/>
      <c r="HTB104" s="450"/>
      <c r="HTC104" s="450"/>
      <c r="HTD104" s="450"/>
      <c r="HTE104" s="450"/>
      <c r="HTF104" s="450"/>
      <c r="HTG104" s="450"/>
      <c r="HTH104" s="450"/>
      <c r="HTI104" s="450"/>
      <c r="HTJ104" s="450"/>
      <c r="HTK104" s="450"/>
      <c r="HTL104" s="450"/>
      <c r="HTM104" s="450"/>
      <c r="HTN104" s="450"/>
      <c r="HTO104" s="450"/>
      <c r="HTP104" s="450"/>
      <c r="HTQ104" s="450"/>
      <c r="HTR104" s="450"/>
      <c r="HTS104" s="450"/>
      <c r="HTT104" s="450"/>
      <c r="HTU104" s="450"/>
      <c r="HTV104" s="450"/>
      <c r="HTW104" s="450"/>
      <c r="HTX104" s="450"/>
      <c r="HTY104" s="450"/>
      <c r="HTZ104" s="450"/>
      <c r="HUA104" s="450"/>
      <c r="HUB104" s="450"/>
      <c r="HUC104" s="450"/>
      <c r="HUD104" s="450"/>
      <c r="HUE104" s="450"/>
      <c r="HUF104" s="450"/>
      <c r="HUG104" s="450"/>
      <c r="HUH104" s="450"/>
      <c r="HUI104" s="450"/>
      <c r="HUJ104" s="450"/>
      <c r="HUK104" s="450"/>
      <c r="HUL104" s="450"/>
      <c r="HUM104" s="450"/>
      <c r="HUN104" s="450"/>
      <c r="HUO104" s="450"/>
      <c r="HUP104" s="450"/>
      <c r="HUQ104" s="450"/>
      <c r="HUR104" s="450"/>
      <c r="HUS104" s="450"/>
      <c r="HUT104" s="450"/>
      <c r="HUU104" s="450"/>
      <c r="HUV104" s="450"/>
      <c r="HUW104" s="450"/>
      <c r="HUX104" s="450"/>
      <c r="HUY104" s="450"/>
      <c r="HUZ104" s="450"/>
      <c r="HVA104" s="450"/>
      <c r="HVB104" s="450"/>
      <c r="HVC104" s="450"/>
      <c r="HVD104" s="450"/>
      <c r="HVE104" s="450"/>
      <c r="HVF104" s="450"/>
      <c r="HVG104" s="450"/>
      <c r="HVH104" s="450"/>
      <c r="HVI104" s="450"/>
      <c r="HVJ104" s="450"/>
      <c r="HVK104" s="450"/>
      <c r="HVL104" s="450"/>
      <c r="HVM104" s="450"/>
      <c r="HVN104" s="450"/>
      <c r="HVO104" s="450"/>
      <c r="HVP104" s="450"/>
      <c r="HVQ104" s="450"/>
      <c r="HVR104" s="450"/>
      <c r="HVS104" s="450"/>
      <c r="HVT104" s="450"/>
      <c r="HVU104" s="450"/>
      <c r="HVV104" s="450"/>
      <c r="HVW104" s="450"/>
      <c r="HVX104" s="450"/>
      <c r="HVY104" s="450"/>
      <c r="HVZ104" s="450"/>
      <c r="HWA104" s="450"/>
      <c r="HWB104" s="450"/>
      <c r="HWC104" s="450"/>
      <c r="HWD104" s="450"/>
      <c r="HWE104" s="450"/>
      <c r="HWF104" s="450"/>
      <c r="HWG104" s="450"/>
      <c r="HWH104" s="450"/>
      <c r="HWI104" s="450"/>
      <c r="HWJ104" s="450"/>
      <c r="HWK104" s="450"/>
      <c r="HWL104" s="450"/>
      <c r="HWM104" s="450"/>
      <c r="HWN104" s="450"/>
      <c r="HWO104" s="450"/>
      <c r="HWP104" s="450"/>
      <c r="HWQ104" s="450"/>
      <c r="HWR104" s="450"/>
      <c r="HWS104" s="450"/>
      <c r="HWT104" s="450"/>
      <c r="HWU104" s="450"/>
      <c r="HWV104" s="450"/>
      <c r="HWW104" s="450"/>
      <c r="HWX104" s="450"/>
      <c r="HWY104" s="450"/>
      <c r="HWZ104" s="450"/>
      <c r="HXA104" s="450"/>
      <c r="HXB104" s="450"/>
      <c r="HXC104" s="450"/>
      <c r="HXD104" s="450"/>
      <c r="HXE104" s="450"/>
      <c r="HXF104" s="450"/>
      <c r="HXG104" s="450"/>
      <c r="HXH104" s="450"/>
      <c r="HXI104" s="450"/>
      <c r="HXJ104" s="450"/>
      <c r="HXK104" s="450"/>
      <c r="HXL104" s="450"/>
      <c r="HXM104" s="450"/>
      <c r="HXN104" s="450"/>
      <c r="HXO104" s="450"/>
      <c r="HXP104" s="450"/>
      <c r="HXQ104" s="450"/>
      <c r="HXR104" s="450"/>
      <c r="HXS104" s="450"/>
      <c r="HXT104" s="450"/>
      <c r="HXU104" s="450"/>
      <c r="HXV104" s="450"/>
      <c r="HXW104" s="450"/>
      <c r="HXX104" s="450"/>
      <c r="HXY104" s="450"/>
      <c r="HXZ104" s="450"/>
      <c r="HYA104" s="450"/>
      <c r="HYB104" s="450"/>
      <c r="HYC104" s="450"/>
      <c r="HYD104" s="450"/>
      <c r="HYE104" s="450"/>
      <c r="HYF104" s="450"/>
      <c r="HYG104" s="450"/>
      <c r="HYH104" s="450"/>
      <c r="HYI104" s="450"/>
      <c r="HYJ104" s="450"/>
      <c r="HYK104" s="450"/>
      <c r="HYL104" s="450"/>
      <c r="HYM104" s="450"/>
      <c r="HYN104" s="450"/>
      <c r="HYO104" s="450"/>
      <c r="HYP104" s="450"/>
      <c r="HYQ104" s="450"/>
      <c r="HYR104" s="450"/>
      <c r="HYS104" s="450"/>
      <c r="HYT104" s="450"/>
      <c r="HYU104" s="450"/>
      <c r="HYV104" s="450"/>
      <c r="HYW104" s="450"/>
      <c r="HYX104" s="450"/>
      <c r="HYY104" s="450"/>
      <c r="HYZ104" s="450"/>
      <c r="HZA104" s="450"/>
      <c r="HZB104" s="450"/>
      <c r="HZC104" s="450"/>
      <c r="HZD104" s="450"/>
      <c r="HZE104" s="450"/>
      <c r="HZF104" s="450"/>
      <c r="HZG104" s="450"/>
      <c r="HZH104" s="450"/>
      <c r="HZI104" s="450"/>
      <c r="HZJ104" s="450"/>
      <c r="HZK104" s="450"/>
      <c r="HZL104" s="450"/>
      <c r="HZM104" s="450"/>
      <c r="HZN104" s="450"/>
      <c r="HZO104" s="450"/>
      <c r="HZP104" s="450"/>
      <c r="HZQ104" s="450"/>
      <c r="HZR104" s="450"/>
      <c r="HZS104" s="450"/>
      <c r="HZT104" s="450"/>
      <c r="HZU104" s="450"/>
      <c r="HZV104" s="450"/>
      <c r="HZW104" s="450"/>
      <c r="HZX104" s="450"/>
      <c r="HZY104" s="450"/>
      <c r="HZZ104" s="450"/>
      <c r="IAA104" s="450"/>
      <c r="IAB104" s="450"/>
      <c r="IAC104" s="450"/>
      <c r="IAD104" s="450"/>
      <c r="IAE104" s="450"/>
      <c r="IAF104" s="450"/>
      <c r="IAG104" s="450"/>
      <c r="IAH104" s="450"/>
      <c r="IAI104" s="450"/>
      <c r="IAJ104" s="450"/>
      <c r="IAK104" s="450"/>
      <c r="IAL104" s="450"/>
      <c r="IAM104" s="450"/>
      <c r="IAN104" s="450"/>
      <c r="IAO104" s="450"/>
      <c r="IAP104" s="450"/>
      <c r="IAQ104" s="450"/>
      <c r="IAR104" s="450"/>
      <c r="IAS104" s="450"/>
      <c r="IAT104" s="450"/>
      <c r="IAU104" s="450"/>
      <c r="IAV104" s="450"/>
      <c r="IAW104" s="450"/>
      <c r="IAX104" s="450"/>
      <c r="IAY104" s="450"/>
      <c r="IAZ104" s="450"/>
      <c r="IBA104" s="450"/>
      <c r="IBB104" s="450"/>
      <c r="IBC104" s="450"/>
      <c r="IBD104" s="450"/>
      <c r="IBE104" s="450"/>
      <c r="IBF104" s="450"/>
      <c r="IBG104" s="450"/>
      <c r="IBH104" s="450"/>
      <c r="IBI104" s="450"/>
      <c r="IBJ104" s="450"/>
      <c r="IBK104" s="450"/>
      <c r="IBL104" s="450"/>
      <c r="IBM104" s="450"/>
      <c r="IBN104" s="450"/>
      <c r="IBO104" s="450"/>
      <c r="IBP104" s="450"/>
      <c r="IBQ104" s="450"/>
      <c r="IBR104" s="450"/>
      <c r="IBS104" s="450"/>
      <c r="IBT104" s="450"/>
      <c r="IBU104" s="450"/>
      <c r="IBV104" s="450"/>
      <c r="IBW104" s="450"/>
      <c r="IBX104" s="450"/>
      <c r="IBY104" s="450"/>
      <c r="IBZ104" s="450"/>
      <c r="ICA104" s="450"/>
      <c r="ICB104" s="450"/>
      <c r="ICC104" s="450"/>
      <c r="ICD104" s="450"/>
      <c r="ICE104" s="450"/>
      <c r="ICF104" s="450"/>
      <c r="ICG104" s="450"/>
      <c r="ICH104" s="450"/>
      <c r="ICI104" s="450"/>
      <c r="ICJ104" s="450"/>
      <c r="ICK104" s="450"/>
      <c r="ICL104" s="450"/>
      <c r="ICM104" s="450"/>
      <c r="ICN104" s="450"/>
      <c r="ICO104" s="450"/>
      <c r="ICP104" s="450"/>
      <c r="ICQ104" s="450"/>
      <c r="ICR104" s="450"/>
      <c r="ICS104" s="450"/>
      <c r="ICT104" s="450"/>
      <c r="ICU104" s="450"/>
      <c r="ICV104" s="450"/>
      <c r="ICW104" s="450"/>
      <c r="ICX104" s="450"/>
      <c r="ICY104" s="450"/>
      <c r="ICZ104" s="450"/>
      <c r="IDA104" s="450"/>
      <c r="IDB104" s="450"/>
      <c r="IDC104" s="450"/>
      <c r="IDD104" s="450"/>
      <c r="IDE104" s="450"/>
      <c r="IDF104" s="450"/>
      <c r="IDG104" s="450"/>
      <c r="IDH104" s="450"/>
      <c r="IDI104" s="450"/>
      <c r="IDJ104" s="450"/>
      <c r="IDK104" s="450"/>
      <c r="IDL104" s="450"/>
      <c r="IDM104" s="450"/>
      <c r="IDN104" s="450"/>
      <c r="IDO104" s="450"/>
      <c r="IDP104" s="450"/>
      <c r="IDQ104" s="450"/>
      <c r="IDR104" s="450"/>
      <c r="IDS104" s="450"/>
      <c r="IDT104" s="450"/>
      <c r="IDU104" s="450"/>
      <c r="IDV104" s="450"/>
      <c r="IDW104" s="450"/>
      <c r="IDX104" s="450"/>
      <c r="IDY104" s="450"/>
      <c r="IDZ104" s="450"/>
      <c r="IEA104" s="450"/>
      <c r="IEB104" s="450"/>
      <c r="IEC104" s="450"/>
      <c r="IED104" s="450"/>
      <c r="IEE104" s="450"/>
      <c r="IEF104" s="450"/>
      <c r="IEG104" s="450"/>
      <c r="IEH104" s="450"/>
      <c r="IEI104" s="450"/>
      <c r="IEJ104" s="450"/>
      <c r="IEK104" s="450"/>
      <c r="IEL104" s="450"/>
      <c r="IEM104" s="450"/>
      <c r="IEN104" s="450"/>
      <c r="IEO104" s="450"/>
      <c r="IEP104" s="450"/>
      <c r="IEQ104" s="450"/>
      <c r="IER104" s="450"/>
      <c r="IES104" s="450"/>
      <c r="IET104" s="450"/>
      <c r="IEU104" s="450"/>
      <c r="IEV104" s="450"/>
      <c r="IEW104" s="450"/>
      <c r="IEX104" s="450"/>
      <c r="IEY104" s="450"/>
      <c r="IEZ104" s="450"/>
      <c r="IFA104" s="450"/>
      <c r="IFB104" s="450"/>
      <c r="IFC104" s="450"/>
      <c r="IFD104" s="450"/>
      <c r="IFE104" s="450"/>
      <c r="IFF104" s="450"/>
      <c r="IFG104" s="450"/>
      <c r="IFH104" s="450"/>
      <c r="IFI104" s="450"/>
      <c r="IFJ104" s="450"/>
      <c r="IFK104" s="450"/>
      <c r="IFL104" s="450"/>
      <c r="IFM104" s="450"/>
      <c r="IFN104" s="450"/>
      <c r="IFO104" s="450"/>
      <c r="IFP104" s="450"/>
      <c r="IFQ104" s="450"/>
      <c r="IFR104" s="450"/>
      <c r="IFS104" s="450"/>
      <c r="IFT104" s="450"/>
      <c r="IFU104" s="450"/>
      <c r="IFV104" s="450"/>
      <c r="IFW104" s="450"/>
      <c r="IFX104" s="450"/>
      <c r="IFY104" s="450"/>
      <c r="IFZ104" s="450"/>
      <c r="IGA104" s="450"/>
      <c r="IGB104" s="450"/>
      <c r="IGC104" s="450"/>
      <c r="IGD104" s="450"/>
      <c r="IGE104" s="450"/>
      <c r="IGF104" s="450"/>
      <c r="IGG104" s="450"/>
      <c r="IGH104" s="450"/>
      <c r="IGI104" s="450"/>
      <c r="IGJ104" s="450"/>
      <c r="IGK104" s="450"/>
      <c r="IGL104" s="450"/>
      <c r="IGM104" s="450"/>
      <c r="IGN104" s="450"/>
      <c r="IGO104" s="450"/>
      <c r="IGP104" s="450"/>
      <c r="IGQ104" s="450"/>
      <c r="IGR104" s="450"/>
      <c r="IGS104" s="450"/>
      <c r="IGT104" s="450"/>
      <c r="IGU104" s="450"/>
      <c r="IGV104" s="450"/>
      <c r="IGW104" s="450"/>
      <c r="IGX104" s="450"/>
      <c r="IGY104" s="450"/>
      <c r="IGZ104" s="450"/>
      <c r="IHA104" s="450"/>
      <c r="IHB104" s="450"/>
      <c r="IHC104" s="450"/>
      <c r="IHD104" s="450"/>
      <c r="IHE104" s="450"/>
      <c r="IHF104" s="450"/>
      <c r="IHG104" s="450"/>
      <c r="IHH104" s="450"/>
      <c r="IHI104" s="450"/>
      <c r="IHJ104" s="450"/>
      <c r="IHK104" s="450"/>
      <c r="IHL104" s="450"/>
      <c r="IHM104" s="450"/>
      <c r="IHN104" s="450"/>
      <c r="IHO104" s="450"/>
      <c r="IHP104" s="450"/>
      <c r="IHQ104" s="450"/>
      <c r="IHR104" s="450"/>
      <c r="IHS104" s="450"/>
      <c r="IHT104" s="450"/>
      <c r="IHU104" s="450"/>
      <c r="IHV104" s="450"/>
      <c r="IHW104" s="450"/>
      <c r="IHX104" s="450"/>
      <c r="IHY104" s="450"/>
      <c r="IHZ104" s="450"/>
      <c r="IIA104" s="450"/>
      <c r="IIB104" s="450"/>
      <c r="IIC104" s="450"/>
      <c r="IID104" s="450"/>
      <c r="IIE104" s="450"/>
      <c r="IIF104" s="450"/>
      <c r="IIG104" s="450"/>
      <c r="IIH104" s="450"/>
      <c r="III104" s="450"/>
      <c r="IIJ104" s="450"/>
      <c r="IIK104" s="450"/>
      <c r="IIL104" s="450"/>
      <c r="IIM104" s="450"/>
      <c r="IIN104" s="450"/>
      <c r="IIO104" s="450"/>
      <c r="IIP104" s="450"/>
      <c r="IIQ104" s="450"/>
      <c r="IIR104" s="450"/>
      <c r="IIS104" s="450"/>
      <c r="IIT104" s="450"/>
      <c r="IIU104" s="450"/>
      <c r="IIV104" s="450"/>
      <c r="IIW104" s="450"/>
      <c r="IIX104" s="450"/>
      <c r="IIY104" s="450"/>
      <c r="IIZ104" s="450"/>
      <c r="IJA104" s="450"/>
      <c r="IJB104" s="450"/>
      <c r="IJC104" s="450"/>
      <c r="IJD104" s="450"/>
      <c r="IJE104" s="450"/>
      <c r="IJF104" s="450"/>
      <c r="IJG104" s="450"/>
      <c r="IJH104" s="450"/>
      <c r="IJI104" s="450"/>
      <c r="IJJ104" s="450"/>
      <c r="IJK104" s="450"/>
      <c r="IJL104" s="450"/>
      <c r="IJM104" s="450"/>
      <c r="IJN104" s="450"/>
      <c r="IJO104" s="450"/>
      <c r="IJP104" s="450"/>
      <c r="IJQ104" s="450"/>
      <c r="IJR104" s="450"/>
      <c r="IJS104" s="450"/>
      <c r="IJT104" s="450"/>
      <c r="IJU104" s="450"/>
      <c r="IJV104" s="450"/>
      <c r="IJW104" s="450"/>
      <c r="IJX104" s="450"/>
      <c r="IJY104" s="450"/>
      <c r="IJZ104" s="450"/>
      <c r="IKA104" s="450"/>
      <c r="IKB104" s="450"/>
      <c r="IKC104" s="450"/>
      <c r="IKD104" s="450"/>
      <c r="IKE104" s="450"/>
      <c r="IKF104" s="450"/>
      <c r="IKG104" s="450"/>
      <c r="IKH104" s="450"/>
      <c r="IKI104" s="450"/>
      <c r="IKJ104" s="450"/>
      <c r="IKK104" s="450"/>
      <c r="IKL104" s="450"/>
      <c r="IKM104" s="450"/>
      <c r="IKN104" s="450"/>
      <c r="IKO104" s="450"/>
      <c r="IKP104" s="450"/>
      <c r="IKQ104" s="450"/>
      <c r="IKR104" s="450"/>
      <c r="IKS104" s="450"/>
      <c r="IKT104" s="450"/>
      <c r="IKU104" s="450"/>
      <c r="IKV104" s="450"/>
      <c r="IKW104" s="450"/>
      <c r="IKX104" s="450"/>
      <c r="IKY104" s="450"/>
      <c r="IKZ104" s="450"/>
      <c r="ILA104" s="450"/>
      <c r="ILB104" s="450"/>
      <c r="ILC104" s="450"/>
      <c r="ILD104" s="450"/>
      <c r="ILE104" s="450"/>
      <c r="ILF104" s="450"/>
      <c r="ILG104" s="450"/>
      <c r="ILH104" s="450"/>
      <c r="ILI104" s="450"/>
      <c r="ILJ104" s="450"/>
      <c r="ILK104" s="450"/>
      <c r="ILL104" s="450"/>
      <c r="ILM104" s="450"/>
      <c r="ILN104" s="450"/>
      <c r="ILO104" s="450"/>
      <c r="ILP104" s="450"/>
      <c r="ILQ104" s="450"/>
      <c r="ILR104" s="450"/>
      <c r="ILS104" s="450"/>
      <c r="ILT104" s="450"/>
      <c r="ILU104" s="450"/>
      <c r="ILV104" s="450"/>
      <c r="ILW104" s="450"/>
      <c r="ILX104" s="450"/>
      <c r="ILY104" s="450"/>
      <c r="ILZ104" s="450"/>
      <c r="IMA104" s="450"/>
      <c r="IMB104" s="450"/>
      <c r="IMC104" s="450"/>
      <c r="IMD104" s="450"/>
      <c r="IME104" s="450"/>
      <c r="IMF104" s="450"/>
      <c r="IMG104" s="450"/>
      <c r="IMH104" s="450"/>
      <c r="IMI104" s="450"/>
      <c r="IMJ104" s="450"/>
      <c r="IMK104" s="450"/>
      <c r="IML104" s="450"/>
      <c r="IMM104" s="450"/>
      <c r="IMN104" s="450"/>
      <c r="IMO104" s="450"/>
      <c r="IMP104" s="450"/>
      <c r="IMQ104" s="450"/>
      <c r="IMR104" s="450"/>
      <c r="IMS104" s="450"/>
      <c r="IMT104" s="450"/>
      <c r="IMU104" s="450"/>
      <c r="IMV104" s="450"/>
      <c r="IMW104" s="450"/>
      <c r="IMX104" s="450"/>
      <c r="IMY104" s="450"/>
      <c r="IMZ104" s="450"/>
      <c r="INA104" s="450"/>
      <c r="INB104" s="450"/>
      <c r="INC104" s="450"/>
      <c r="IND104" s="450"/>
      <c r="INE104" s="450"/>
      <c r="INF104" s="450"/>
      <c r="ING104" s="450"/>
      <c r="INH104" s="450"/>
      <c r="INI104" s="450"/>
      <c r="INJ104" s="450"/>
      <c r="INK104" s="450"/>
      <c r="INL104" s="450"/>
      <c r="INM104" s="450"/>
      <c r="INN104" s="450"/>
      <c r="INO104" s="450"/>
      <c r="INP104" s="450"/>
      <c r="INQ104" s="450"/>
      <c r="INR104" s="450"/>
      <c r="INS104" s="450"/>
      <c r="INT104" s="450"/>
      <c r="INU104" s="450"/>
      <c r="INV104" s="450"/>
      <c r="INW104" s="450"/>
      <c r="INX104" s="450"/>
      <c r="INY104" s="450"/>
      <c r="INZ104" s="450"/>
      <c r="IOA104" s="450"/>
      <c r="IOB104" s="450"/>
      <c r="IOC104" s="450"/>
      <c r="IOD104" s="450"/>
      <c r="IOE104" s="450"/>
      <c r="IOF104" s="450"/>
      <c r="IOG104" s="450"/>
      <c r="IOH104" s="450"/>
      <c r="IOI104" s="450"/>
      <c r="IOJ104" s="450"/>
      <c r="IOK104" s="450"/>
      <c r="IOL104" s="450"/>
      <c r="IOM104" s="450"/>
      <c r="ION104" s="450"/>
      <c r="IOO104" s="450"/>
      <c r="IOP104" s="450"/>
      <c r="IOQ104" s="450"/>
      <c r="IOR104" s="450"/>
      <c r="IOS104" s="450"/>
      <c r="IOT104" s="450"/>
      <c r="IOU104" s="450"/>
      <c r="IOV104" s="450"/>
      <c r="IOW104" s="450"/>
      <c r="IOX104" s="450"/>
      <c r="IOY104" s="450"/>
      <c r="IOZ104" s="450"/>
      <c r="IPA104" s="450"/>
      <c r="IPB104" s="450"/>
      <c r="IPC104" s="450"/>
      <c r="IPD104" s="450"/>
      <c r="IPE104" s="450"/>
      <c r="IPF104" s="450"/>
      <c r="IPG104" s="450"/>
      <c r="IPH104" s="450"/>
      <c r="IPI104" s="450"/>
      <c r="IPJ104" s="450"/>
      <c r="IPK104" s="450"/>
      <c r="IPL104" s="450"/>
      <c r="IPM104" s="450"/>
      <c r="IPN104" s="450"/>
      <c r="IPO104" s="450"/>
      <c r="IPP104" s="450"/>
      <c r="IPQ104" s="450"/>
      <c r="IPR104" s="450"/>
      <c r="IPS104" s="450"/>
      <c r="IPT104" s="450"/>
      <c r="IPU104" s="450"/>
      <c r="IPV104" s="450"/>
      <c r="IPW104" s="450"/>
      <c r="IPX104" s="450"/>
      <c r="IPY104" s="450"/>
      <c r="IPZ104" s="450"/>
      <c r="IQA104" s="450"/>
      <c r="IQB104" s="450"/>
      <c r="IQC104" s="450"/>
      <c r="IQD104" s="450"/>
      <c r="IQE104" s="450"/>
      <c r="IQF104" s="450"/>
      <c r="IQG104" s="450"/>
      <c r="IQH104" s="450"/>
      <c r="IQI104" s="450"/>
      <c r="IQJ104" s="450"/>
      <c r="IQK104" s="450"/>
      <c r="IQL104" s="450"/>
      <c r="IQM104" s="450"/>
      <c r="IQN104" s="450"/>
      <c r="IQO104" s="450"/>
      <c r="IQP104" s="450"/>
      <c r="IQQ104" s="450"/>
      <c r="IQR104" s="450"/>
      <c r="IQS104" s="450"/>
      <c r="IQT104" s="450"/>
      <c r="IQU104" s="450"/>
      <c r="IQV104" s="450"/>
      <c r="IQW104" s="450"/>
      <c r="IQX104" s="450"/>
      <c r="IQY104" s="450"/>
      <c r="IQZ104" s="450"/>
      <c r="IRA104" s="450"/>
      <c r="IRB104" s="450"/>
      <c r="IRC104" s="450"/>
      <c r="IRD104" s="450"/>
      <c r="IRE104" s="450"/>
      <c r="IRF104" s="450"/>
      <c r="IRG104" s="450"/>
      <c r="IRH104" s="450"/>
      <c r="IRI104" s="450"/>
      <c r="IRJ104" s="450"/>
      <c r="IRK104" s="450"/>
      <c r="IRL104" s="450"/>
      <c r="IRM104" s="450"/>
      <c r="IRN104" s="450"/>
      <c r="IRO104" s="450"/>
      <c r="IRP104" s="450"/>
      <c r="IRQ104" s="450"/>
      <c r="IRR104" s="450"/>
      <c r="IRS104" s="450"/>
      <c r="IRT104" s="450"/>
      <c r="IRU104" s="450"/>
      <c r="IRV104" s="450"/>
      <c r="IRW104" s="450"/>
      <c r="IRX104" s="450"/>
      <c r="IRY104" s="450"/>
      <c r="IRZ104" s="450"/>
      <c r="ISA104" s="450"/>
      <c r="ISB104" s="450"/>
      <c r="ISC104" s="450"/>
      <c r="ISD104" s="450"/>
      <c r="ISE104" s="450"/>
      <c r="ISF104" s="450"/>
      <c r="ISG104" s="450"/>
      <c r="ISH104" s="450"/>
      <c r="ISI104" s="450"/>
      <c r="ISJ104" s="450"/>
      <c r="ISK104" s="450"/>
      <c r="ISL104" s="450"/>
      <c r="ISM104" s="450"/>
      <c r="ISN104" s="450"/>
      <c r="ISO104" s="450"/>
      <c r="ISP104" s="450"/>
      <c r="ISQ104" s="450"/>
      <c r="ISR104" s="450"/>
      <c r="ISS104" s="450"/>
      <c r="IST104" s="450"/>
      <c r="ISU104" s="450"/>
      <c r="ISV104" s="450"/>
      <c r="ISW104" s="450"/>
      <c r="ISX104" s="450"/>
      <c r="ISY104" s="450"/>
      <c r="ISZ104" s="450"/>
      <c r="ITA104" s="450"/>
      <c r="ITB104" s="450"/>
      <c r="ITC104" s="450"/>
      <c r="ITD104" s="450"/>
      <c r="ITE104" s="450"/>
      <c r="ITF104" s="450"/>
      <c r="ITG104" s="450"/>
      <c r="ITH104" s="450"/>
      <c r="ITI104" s="450"/>
      <c r="ITJ104" s="450"/>
      <c r="ITK104" s="450"/>
      <c r="ITL104" s="450"/>
      <c r="ITM104" s="450"/>
      <c r="ITN104" s="450"/>
      <c r="ITO104" s="450"/>
      <c r="ITP104" s="450"/>
      <c r="ITQ104" s="450"/>
      <c r="ITR104" s="450"/>
      <c r="ITS104" s="450"/>
      <c r="ITT104" s="450"/>
      <c r="ITU104" s="450"/>
      <c r="ITV104" s="450"/>
      <c r="ITW104" s="450"/>
      <c r="ITX104" s="450"/>
      <c r="ITY104" s="450"/>
      <c r="ITZ104" s="450"/>
      <c r="IUA104" s="450"/>
      <c r="IUB104" s="450"/>
      <c r="IUC104" s="450"/>
      <c r="IUD104" s="450"/>
      <c r="IUE104" s="450"/>
      <c r="IUF104" s="450"/>
      <c r="IUG104" s="450"/>
      <c r="IUH104" s="450"/>
      <c r="IUI104" s="450"/>
      <c r="IUJ104" s="450"/>
      <c r="IUK104" s="450"/>
      <c r="IUL104" s="450"/>
      <c r="IUM104" s="450"/>
      <c r="IUN104" s="450"/>
      <c r="IUO104" s="450"/>
      <c r="IUP104" s="450"/>
      <c r="IUQ104" s="450"/>
      <c r="IUR104" s="450"/>
      <c r="IUS104" s="450"/>
      <c r="IUT104" s="450"/>
      <c r="IUU104" s="450"/>
      <c r="IUV104" s="450"/>
      <c r="IUW104" s="450"/>
      <c r="IUX104" s="450"/>
      <c r="IUY104" s="450"/>
      <c r="IUZ104" s="450"/>
      <c r="IVA104" s="450"/>
      <c r="IVB104" s="450"/>
      <c r="IVC104" s="450"/>
      <c r="IVD104" s="450"/>
      <c r="IVE104" s="450"/>
      <c r="IVF104" s="450"/>
      <c r="IVG104" s="450"/>
      <c r="IVH104" s="450"/>
      <c r="IVI104" s="450"/>
      <c r="IVJ104" s="450"/>
      <c r="IVK104" s="450"/>
      <c r="IVL104" s="450"/>
      <c r="IVM104" s="450"/>
      <c r="IVN104" s="450"/>
      <c r="IVO104" s="450"/>
      <c r="IVP104" s="450"/>
      <c r="IVQ104" s="450"/>
      <c r="IVR104" s="450"/>
      <c r="IVS104" s="450"/>
      <c r="IVT104" s="450"/>
      <c r="IVU104" s="450"/>
      <c r="IVV104" s="450"/>
      <c r="IVW104" s="450"/>
      <c r="IVX104" s="450"/>
      <c r="IVY104" s="450"/>
      <c r="IVZ104" s="450"/>
      <c r="IWA104" s="450"/>
      <c r="IWB104" s="450"/>
      <c r="IWC104" s="450"/>
      <c r="IWD104" s="450"/>
      <c r="IWE104" s="450"/>
      <c r="IWF104" s="450"/>
      <c r="IWG104" s="450"/>
      <c r="IWH104" s="450"/>
      <c r="IWI104" s="450"/>
      <c r="IWJ104" s="450"/>
      <c r="IWK104" s="450"/>
      <c r="IWL104" s="450"/>
      <c r="IWM104" s="450"/>
      <c r="IWN104" s="450"/>
      <c r="IWO104" s="450"/>
      <c r="IWP104" s="450"/>
      <c r="IWQ104" s="450"/>
      <c r="IWR104" s="450"/>
      <c r="IWS104" s="450"/>
      <c r="IWT104" s="450"/>
      <c r="IWU104" s="450"/>
      <c r="IWV104" s="450"/>
      <c r="IWW104" s="450"/>
      <c r="IWX104" s="450"/>
      <c r="IWY104" s="450"/>
      <c r="IWZ104" s="450"/>
      <c r="IXA104" s="450"/>
      <c r="IXB104" s="450"/>
      <c r="IXC104" s="450"/>
      <c r="IXD104" s="450"/>
      <c r="IXE104" s="450"/>
      <c r="IXF104" s="450"/>
      <c r="IXG104" s="450"/>
      <c r="IXH104" s="450"/>
      <c r="IXI104" s="450"/>
      <c r="IXJ104" s="450"/>
      <c r="IXK104" s="450"/>
      <c r="IXL104" s="450"/>
      <c r="IXM104" s="450"/>
      <c r="IXN104" s="450"/>
      <c r="IXO104" s="450"/>
      <c r="IXP104" s="450"/>
      <c r="IXQ104" s="450"/>
      <c r="IXR104" s="450"/>
      <c r="IXS104" s="450"/>
      <c r="IXT104" s="450"/>
      <c r="IXU104" s="450"/>
      <c r="IXV104" s="450"/>
      <c r="IXW104" s="450"/>
      <c r="IXX104" s="450"/>
      <c r="IXY104" s="450"/>
      <c r="IXZ104" s="450"/>
      <c r="IYA104" s="450"/>
      <c r="IYB104" s="450"/>
      <c r="IYC104" s="450"/>
      <c r="IYD104" s="450"/>
      <c r="IYE104" s="450"/>
      <c r="IYF104" s="450"/>
      <c r="IYG104" s="450"/>
      <c r="IYH104" s="450"/>
      <c r="IYI104" s="450"/>
      <c r="IYJ104" s="450"/>
      <c r="IYK104" s="450"/>
      <c r="IYL104" s="450"/>
      <c r="IYM104" s="450"/>
      <c r="IYN104" s="450"/>
      <c r="IYO104" s="450"/>
      <c r="IYP104" s="450"/>
      <c r="IYQ104" s="450"/>
      <c r="IYR104" s="450"/>
      <c r="IYS104" s="450"/>
      <c r="IYT104" s="450"/>
      <c r="IYU104" s="450"/>
      <c r="IYV104" s="450"/>
      <c r="IYW104" s="450"/>
      <c r="IYX104" s="450"/>
      <c r="IYY104" s="450"/>
      <c r="IYZ104" s="450"/>
      <c r="IZA104" s="450"/>
      <c r="IZB104" s="450"/>
      <c r="IZC104" s="450"/>
      <c r="IZD104" s="450"/>
      <c r="IZE104" s="450"/>
      <c r="IZF104" s="450"/>
      <c r="IZG104" s="450"/>
      <c r="IZH104" s="450"/>
      <c r="IZI104" s="450"/>
      <c r="IZJ104" s="450"/>
      <c r="IZK104" s="450"/>
      <c r="IZL104" s="450"/>
      <c r="IZM104" s="450"/>
      <c r="IZN104" s="450"/>
      <c r="IZO104" s="450"/>
      <c r="IZP104" s="450"/>
      <c r="IZQ104" s="450"/>
      <c r="IZR104" s="450"/>
      <c r="IZS104" s="450"/>
      <c r="IZT104" s="450"/>
      <c r="IZU104" s="450"/>
      <c r="IZV104" s="450"/>
      <c r="IZW104" s="450"/>
      <c r="IZX104" s="450"/>
      <c r="IZY104" s="450"/>
      <c r="IZZ104" s="450"/>
      <c r="JAA104" s="450"/>
      <c r="JAB104" s="450"/>
      <c r="JAC104" s="450"/>
      <c r="JAD104" s="450"/>
      <c r="JAE104" s="450"/>
      <c r="JAF104" s="450"/>
      <c r="JAG104" s="450"/>
      <c r="JAH104" s="450"/>
      <c r="JAI104" s="450"/>
      <c r="JAJ104" s="450"/>
      <c r="JAK104" s="450"/>
      <c r="JAL104" s="450"/>
      <c r="JAM104" s="450"/>
      <c r="JAN104" s="450"/>
      <c r="JAO104" s="450"/>
      <c r="JAP104" s="450"/>
      <c r="JAQ104" s="450"/>
      <c r="JAR104" s="450"/>
      <c r="JAS104" s="450"/>
      <c r="JAT104" s="450"/>
      <c r="JAU104" s="450"/>
      <c r="JAV104" s="450"/>
      <c r="JAW104" s="450"/>
      <c r="JAX104" s="450"/>
      <c r="JAY104" s="450"/>
      <c r="JAZ104" s="450"/>
      <c r="JBA104" s="450"/>
      <c r="JBB104" s="450"/>
      <c r="JBC104" s="450"/>
      <c r="JBD104" s="450"/>
      <c r="JBE104" s="450"/>
      <c r="JBF104" s="450"/>
      <c r="JBG104" s="450"/>
      <c r="JBH104" s="450"/>
      <c r="JBI104" s="450"/>
      <c r="JBJ104" s="450"/>
      <c r="JBK104" s="450"/>
      <c r="JBL104" s="450"/>
      <c r="JBM104" s="450"/>
      <c r="JBN104" s="450"/>
      <c r="JBO104" s="450"/>
      <c r="JBP104" s="450"/>
      <c r="JBQ104" s="450"/>
      <c r="JBR104" s="450"/>
      <c r="JBS104" s="450"/>
      <c r="JBT104" s="450"/>
      <c r="JBU104" s="450"/>
      <c r="JBV104" s="450"/>
      <c r="JBW104" s="450"/>
      <c r="JBX104" s="450"/>
      <c r="JBY104" s="450"/>
      <c r="JBZ104" s="450"/>
      <c r="JCA104" s="450"/>
      <c r="JCB104" s="450"/>
      <c r="JCC104" s="450"/>
      <c r="JCD104" s="450"/>
      <c r="JCE104" s="450"/>
      <c r="JCF104" s="450"/>
      <c r="JCG104" s="450"/>
      <c r="JCH104" s="450"/>
      <c r="JCI104" s="450"/>
      <c r="JCJ104" s="450"/>
      <c r="JCK104" s="450"/>
      <c r="JCL104" s="450"/>
      <c r="JCM104" s="450"/>
      <c r="JCN104" s="450"/>
      <c r="JCO104" s="450"/>
      <c r="JCP104" s="450"/>
      <c r="JCQ104" s="450"/>
      <c r="JCR104" s="450"/>
      <c r="JCS104" s="450"/>
      <c r="JCT104" s="450"/>
      <c r="JCU104" s="450"/>
      <c r="JCV104" s="450"/>
      <c r="JCW104" s="450"/>
      <c r="JCX104" s="450"/>
      <c r="JCY104" s="450"/>
      <c r="JCZ104" s="450"/>
      <c r="JDA104" s="450"/>
      <c r="JDB104" s="450"/>
      <c r="JDC104" s="450"/>
      <c r="JDD104" s="450"/>
      <c r="JDE104" s="450"/>
      <c r="JDF104" s="450"/>
      <c r="JDG104" s="450"/>
      <c r="JDH104" s="450"/>
      <c r="JDI104" s="450"/>
      <c r="JDJ104" s="450"/>
      <c r="JDK104" s="450"/>
      <c r="JDL104" s="450"/>
      <c r="JDM104" s="450"/>
      <c r="JDN104" s="450"/>
      <c r="JDO104" s="450"/>
      <c r="JDP104" s="450"/>
      <c r="JDQ104" s="450"/>
      <c r="JDR104" s="450"/>
      <c r="JDS104" s="450"/>
      <c r="JDT104" s="450"/>
      <c r="JDU104" s="450"/>
      <c r="JDV104" s="450"/>
      <c r="JDW104" s="450"/>
      <c r="JDX104" s="450"/>
      <c r="JDY104" s="450"/>
      <c r="JDZ104" s="450"/>
      <c r="JEA104" s="450"/>
      <c r="JEB104" s="450"/>
      <c r="JEC104" s="450"/>
      <c r="JED104" s="450"/>
      <c r="JEE104" s="450"/>
      <c r="JEF104" s="450"/>
      <c r="JEG104" s="450"/>
      <c r="JEH104" s="450"/>
      <c r="JEI104" s="450"/>
      <c r="JEJ104" s="450"/>
      <c r="JEK104" s="450"/>
      <c r="JEL104" s="450"/>
      <c r="JEM104" s="450"/>
      <c r="JEN104" s="450"/>
      <c r="JEO104" s="450"/>
      <c r="JEP104" s="450"/>
      <c r="JEQ104" s="450"/>
      <c r="JER104" s="450"/>
      <c r="JES104" s="450"/>
      <c r="JET104" s="450"/>
      <c r="JEU104" s="450"/>
      <c r="JEV104" s="450"/>
      <c r="JEW104" s="450"/>
      <c r="JEX104" s="450"/>
      <c r="JEY104" s="450"/>
      <c r="JEZ104" s="450"/>
      <c r="JFA104" s="450"/>
      <c r="JFB104" s="450"/>
      <c r="JFC104" s="450"/>
      <c r="JFD104" s="450"/>
      <c r="JFE104" s="450"/>
      <c r="JFF104" s="450"/>
      <c r="JFG104" s="450"/>
      <c r="JFH104" s="450"/>
      <c r="JFI104" s="450"/>
      <c r="JFJ104" s="450"/>
      <c r="JFK104" s="450"/>
      <c r="JFL104" s="450"/>
      <c r="JFM104" s="450"/>
      <c r="JFN104" s="450"/>
      <c r="JFO104" s="450"/>
      <c r="JFP104" s="450"/>
      <c r="JFQ104" s="450"/>
      <c r="JFR104" s="450"/>
      <c r="JFS104" s="450"/>
      <c r="JFT104" s="450"/>
      <c r="JFU104" s="450"/>
      <c r="JFV104" s="450"/>
      <c r="JFW104" s="450"/>
      <c r="JFX104" s="450"/>
      <c r="JFY104" s="450"/>
      <c r="JFZ104" s="450"/>
      <c r="JGA104" s="450"/>
      <c r="JGB104" s="450"/>
      <c r="JGC104" s="450"/>
      <c r="JGD104" s="450"/>
      <c r="JGE104" s="450"/>
      <c r="JGF104" s="450"/>
      <c r="JGG104" s="450"/>
      <c r="JGH104" s="450"/>
      <c r="JGI104" s="450"/>
      <c r="JGJ104" s="450"/>
      <c r="JGK104" s="450"/>
      <c r="JGL104" s="450"/>
      <c r="JGM104" s="450"/>
      <c r="JGN104" s="450"/>
      <c r="JGO104" s="450"/>
      <c r="JGP104" s="450"/>
      <c r="JGQ104" s="450"/>
      <c r="JGR104" s="450"/>
      <c r="JGS104" s="450"/>
      <c r="JGT104" s="450"/>
      <c r="JGU104" s="450"/>
      <c r="JGV104" s="450"/>
      <c r="JGW104" s="450"/>
      <c r="JGX104" s="450"/>
      <c r="JGY104" s="450"/>
      <c r="JGZ104" s="450"/>
      <c r="JHA104" s="450"/>
      <c r="JHB104" s="450"/>
      <c r="JHC104" s="450"/>
      <c r="JHD104" s="450"/>
      <c r="JHE104" s="450"/>
      <c r="JHF104" s="450"/>
      <c r="JHG104" s="450"/>
      <c r="JHH104" s="450"/>
      <c r="JHI104" s="450"/>
      <c r="JHJ104" s="450"/>
      <c r="JHK104" s="450"/>
      <c r="JHL104" s="450"/>
      <c r="JHM104" s="450"/>
      <c r="JHN104" s="450"/>
      <c r="JHO104" s="450"/>
      <c r="JHP104" s="450"/>
      <c r="JHQ104" s="450"/>
      <c r="JHR104" s="450"/>
      <c r="JHS104" s="450"/>
      <c r="JHT104" s="450"/>
      <c r="JHU104" s="450"/>
      <c r="JHV104" s="450"/>
      <c r="JHW104" s="450"/>
      <c r="JHX104" s="450"/>
      <c r="JHY104" s="450"/>
      <c r="JHZ104" s="450"/>
      <c r="JIA104" s="450"/>
      <c r="JIB104" s="450"/>
      <c r="JIC104" s="450"/>
      <c r="JID104" s="450"/>
      <c r="JIE104" s="450"/>
      <c r="JIF104" s="450"/>
      <c r="JIG104" s="450"/>
      <c r="JIH104" s="450"/>
      <c r="JII104" s="450"/>
      <c r="JIJ104" s="450"/>
      <c r="JIK104" s="450"/>
      <c r="JIL104" s="450"/>
      <c r="JIM104" s="450"/>
      <c r="JIN104" s="450"/>
      <c r="JIO104" s="450"/>
      <c r="JIP104" s="450"/>
      <c r="JIQ104" s="450"/>
      <c r="JIR104" s="450"/>
      <c r="JIS104" s="450"/>
      <c r="JIT104" s="450"/>
      <c r="JIU104" s="450"/>
      <c r="JIV104" s="450"/>
      <c r="JIW104" s="450"/>
      <c r="JIX104" s="450"/>
      <c r="JIY104" s="450"/>
      <c r="JIZ104" s="450"/>
      <c r="JJA104" s="450"/>
      <c r="JJB104" s="450"/>
      <c r="JJC104" s="450"/>
      <c r="JJD104" s="450"/>
      <c r="JJE104" s="450"/>
      <c r="JJF104" s="450"/>
      <c r="JJG104" s="450"/>
      <c r="JJH104" s="450"/>
      <c r="JJI104" s="450"/>
      <c r="JJJ104" s="450"/>
      <c r="JJK104" s="450"/>
      <c r="JJL104" s="450"/>
      <c r="JJM104" s="450"/>
      <c r="JJN104" s="450"/>
      <c r="JJO104" s="450"/>
      <c r="JJP104" s="450"/>
      <c r="JJQ104" s="450"/>
      <c r="JJR104" s="450"/>
      <c r="JJS104" s="450"/>
      <c r="JJT104" s="450"/>
      <c r="JJU104" s="450"/>
      <c r="JJV104" s="450"/>
      <c r="JJW104" s="450"/>
      <c r="JJX104" s="450"/>
      <c r="JJY104" s="450"/>
      <c r="JJZ104" s="450"/>
      <c r="JKA104" s="450"/>
      <c r="JKB104" s="450"/>
      <c r="JKC104" s="450"/>
      <c r="JKD104" s="450"/>
      <c r="JKE104" s="450"/>
      <c r="JKF104" s="450"/>
      <c r="JKG104" s="450"/>
      <c r="JKH104" s="450"/>
      <c r="JKI104" s="450"/>
      <c r="JKJ104" s="450"/>
      <c r="JKK104" s="450"/>
      <c r="JKL104" s="450"/>
      <c r="JKM104" s="450"/>
      <c r="JKN104" s="450"/>
      <c r="JKO104" s="450"/>
      <c r="JKP104" s="450"/>
      <c r="JKQ104" s="450"/>
      <c r="JKR104" s="450"/>
      <c r="JKS104" s="450"/>
      <c r="JKT104" s="450"/>
      <c r="JKU104" s="450"/>
      <c r="JKV104" s="450"/>
      <c r="JKW104" s="450"/>
      <c r="JKX104" s="450"/>
      <c r="JKY104" s="450"/>
      <c r="JKZ104" s="450"/>
      <c r="JLA104" s="450"/>
      <c r="JLB104" s="450"/>
      <c r="JLC104" s="450"/>
      <c r="JLD104" s="450"/>
      <c r="JLE104" s="450"/>
      <c r="JLF104" s="450"/>
      <c r="JLG104" s="450"/>
      <c r="JLH104" s="450"/>
      <c r="JLI104" s="450"/>
      <c r="JLJ104" s="450"/>
      <c r="JLK104" s="450"/>
      <c r="JLL104" s="450"/>
      <c r="JLM104" s="450"/>
      <c r="JLN104" s="450"/>
      <c r="JLO104" s="450"/>
      <c r="JLP104" s="450"/>
      <c r="JLQ104" s="450"/>
      <c r="JLR104" s="450"/>
      <c r="JLS104" s="450"/>
      <c r="JLT104" s="450"/>
      <c r="JLU104" s="450"/>
      <c r="JLV104" s="450"/>
      <c r="JLW104" s="450"/>
      <c r="JLX104" s="450"/>
      <c r="JLY104" s="450"/>
      <c r="JLZ104" s="450"/>
      <c r="JMA104" s="450"/>
      <c r="JMB104" s="450"/>
      <c r="JMC104" s="450"/>
      <c r="JMD104" s="450"/>
      <c r="JME104" s="450"/>
      <c r="JMF104" s="450"/>
      <c r="JMG104" s="450"/>
      <c r="JMH104" s="450"/>
      <c r="JMI104" s="450"/>
      <c r="JMJ104" s="450"/>
      <c r="JMK104" s="450"/>
      <c r="JML104" s="450"/>
      <c r="JMM104" s="450"/>
      <c r="JMN104" s="450"/>
      <c r="JMO104" s="450"/>
      <c r="JMP104" s="450"/>
      <c r="JMQ104" s="450"/>
      <c r="JMR104" s="450"/>
      <c r="JMS104" s="450"/>
      <c r="JMT104" s="450"/>
      <c r="JMU104" s="450"/>
      <c r="JMV104" s="450"/>
      <c r="JMW104" s="450"/>
      <c r="JMX104" s="450"/>
      <c r="JMY104" s="450"/>
      <c r="JMZ104" s="450"/>
      <c r="JNA104" s="450"/>
      <c r="JNB104" s="450"/>
      <c r="JNC104" s="450"/>
      <c r="JND104" s="450"/>
      <c r="JNE104" s="450"/>
      <c r="JNF104" s="450"/>
      <c r="JNG104" s="450"/>
      <c r="JNH104" s="450"/>
      <c r="JNI104" s="450"/>
      <c r="JNJ104" s="450"/>
      <c r="JNK104" s="450"/>
      <c r="JNL104" s="450"/>
      <c r="JNM104" s="450"/>
      <c r="JNN104" s="450"/>
      <c r="JNO104" s="450"/>
      <c r="JNP104" s="450"/>
      <c r="JNQ104" s="450"/>
      <c r="JNR104" s="450"/>
      <c r="JNS104" s="450"/>
      <c r="JNT104" s="450"/>
      <c r="JNU104" s="450"/>
      <c r="JNV104" s="450"/>
      <c r="JNW104" s="450"/>
      <c r="JNX104" s="450"/>
      <c r="JNY104" s="450"/>
      <c r="JNZ104" s="450"/>
      <c r="JOA104" s="450"/>
      <c r="JOB104" s="450"/>
      <c r="JOC104" s="450"/>
      <c r="JOD104" s="450"/>
      <c r="JOE104" s="450"/>
      <c r="JOF104" s="450"/>
      <c r="JOG104" s="450"/>
      <c r="JOH104" s="450"/>
      <c r="JOI104" s="450"/>
      <c r="JOJ104" s="450"/>
      <c r="JOK104" s="450"/>
      <c r="JOL104" s="450"/>
      <c r="JOM104" s="450"/>
      <c r="JON104" s="450"/>
      <c r="JOO104" s="450"/>
      <c r="JOP104" s="450"/>
      <c r="JOQ104" s="450"/>
      <c r="JOR104" s="450"/>
      <c r="JOS104" s="450"/>
      <c r="JOT104" s="450"/>
      <c r="JOU104" s="450"/>
      <c r="JOV104" s="450"/>
      <c r="JOW104" s="450"/>
      <c r="JOX104" s="450"/>
      <c r="JOY104" s="450"/>
      <c r="JOZ104" s="450"/>
      <c r="JPA104" s="450"/>
      <c r="JPB104" s="450"/>
      <c r="JPC104" s="450"/>
      <c r="JPD104" s="450"/>
      <c r="JPE104" s="450"/>
      <c r="JPF104" s="450"/>
      <c r="JPG104" s="450"/>
      <c r="JPH104" s="450"/>
      <c r="JPI104" s="450"/>
      <c r="JPJ104" s="450"/>
      <c r="JPK104" s="450"/>
      <c r="JPL104" s="450"/>
      <c r="JPM104" s="450"/>
      <c r="JPN104" s="450"/>
      <c r="JPO104" s="450"/>
      <c r="JPP104" s="450"/>
      <c r="JPQ104" s="450"/>
      <c r="JPR104" s="450"/>
      <c r="JPS104" s="450"/>
      <c r="JPT104" s="450"/>
      <c r="JPU104" s="450"/>
      <c r="JPV104" s="450"/>
      <c r="JPW104" s="450"/>
      <c r="JPX104" s="450"/>
      <c r="JPY104" s="450"/>
      <c r="JPZ104" s="450"/>
      <c r="JQA104" s="450"/>
      <c r="JQB104" s="450"/>
      <c r="JQC104" s="450"/>
      <c r="JQD104" s="450"/>
      <c r="JQE104" s="450"/>
      <c r="JQF104" s="450"/>
      <c r="JQG104" s="450"/>
      <c r="JQH104" s="450"/>
      <c r="JQI104" s="450"/>
      <c r="JQJ104" s="450"/>
      <c r="JQK104" s="450"/>
      <c r="JQL104" s="450"/>
      <c r="JQM104" s="450"/>
      <c r="JQN104" s="450"/>
      <c r="JQO104" s="450"/>
      <c r="JQP104" s="450"/>
      <c r="JQQ104" s="450"/>
      <c r="JQR104" s="450"/>
      <c r="JQS104" s="450"/>
      <c r="JQT104" s="450"/>
      <c r="JQU104" s="450"/>
      <c r="JQV104" s="450"/>
      <c r="JQW104" s="450"/>
      <c r="JQX104" s="450"/>
      <c r="JQY104" s="450"/>
      <c r="JQZ104" s="450"/>
      <c r="JRA104" s="450"/>
      <c r="JRB104" s="450"/>
      <c r="JRC104" s="450"/>
      <c r="JRD104" s="450"/>
      <c r="JRE104" s="450"/>
      <c r="JRF104" s="450"/>
      <c r="JRG104" s="450"/>
      <c r="JRH104" s="450"/>
      <c r="JRI104" s="450"/>
      <c r="JRJ104" s="450"/>
      <c r="JRK104" s="450"/>
      <c r="JRL104" s="450"/>
      <c r="JRM104" s="450"/>
      <c r="JRN104" s="450"/>
      <c r="JRO104" s="450"/>
      <c r="JRP104" s="450"/>
      <c r="JRQ104" s="450"/>
      <c r="JRR104" s="450"/>
      <c r="JRS104" s="450"/>
      <c r="JRT104" s="450"/>
      <c r="JRU104" s="450"/>
      <c r="JRV104" s="450"/>
      <c r="JRW104" s="450"/>
      <c r="JRX104" s="450"/>
      <c r="JRY104" s="450"/>
      <c r="JRZ104" s="450"/>
      <c r="JSA104" s="450"/>
      <c r="JSB104" s="450"/>
      <c r="JSC104" s="450"/>
      <c r="JSD104" s="450"/>
      <c r="JSE104" s="450"/>
      <c r="JSF104" s="450"/>
      <c r="JSG104" s="450"/>
      <c r="JSH104" s="450"/>
      <c r="JSI104" s="450"/>
      <c r="JSJ104" s="450"/>
      <c r="JSK104" s="450"/>
      <c r="JSL104" s="450"/>
      <c r="JSM104" s="450"/>
      <c r="JSN104" s="450"/>
      <c r="JSO104" s="450"/>
      <c r="JSP104" s="450"/>
      <c r="JSQ104" s="450"/>
      <c r="JSR104" s="450"/>
      <c r="JSS104" s="450"/>
      <c r="JST104" s="450"/>
      <c r="JSU104" s="450"/>
      <c r="JSV104" s="450"/>
      <c r="JSW104" s="450"/>
      <c r="JSX104" s="450"/>
      <c r="JSY104" s="450"/>
      <c r="JSZ104" s="450"/>
      <c r="JTA104" s="450"/>
      <c r="JTB104" s="450"/>
      <c r="JTC104" s="450"/>
      <c r="JTD104" s="450"/>
      <c r="JTE104" s="450"/>
      <c r="JTF104" s="450"/>
      <c r="JTG104" s="450"/>
      <c r="JTH104" s="450"/>
      <c r="JTI104" s="450"/>
      <c r="JTJ104" s="450"/>
      <c r="JTK104" s="450"/>
      <c r="JTL104" s="450"/>
      <c r="JTM104" s="450"/>
      <c r="JTN104" s="450"/>
      <c r="JTO104" s="450"/>
      <c r="JTP104" s="450"/>
      <c r="JTQ104" s="450"/>
      <c r="JTR104" s="450"/>
      <c r="JTS104" s="450"/>
      <c r="JTT104" s="450"/>
      <c r="JTU104" s="450"/>
      <c r="JTV104" s="450"/>
      <c r="JTW104" s="450"/>
      <c r="JTX104" s="450"/>
      <c r="JTY104" s="450"/>
      <c r="JTZ104" s="450"/>
      <c r="JUA104" s="450"/>
      <c r="JUB104" s="450"/>
      <c r="JUC104" s="450"/>
      <c r="JUD104" s="450"/>
      <c r="JUE104" s="450"/>
      <c r="JUF104" s="450"/>
      <c r="JUG104" s="450"/>
      <c r="JUH104" s="450"/>
      <c r="JUI104" s="450"/>
      <c r="JUJ104" s="450"/>
      <c r="JUK104" s="450"/>
      <c r="JUL104" s="450"/>
      <c r="JUM104" s="450"/>
      <c r="JUN104" s="450"/>
      <c r="JUO104" s="450"/>
      <c r="JUP104" s="450"/>
      <c r="JUQ104" s="450"/>
      <c r="JUR104" s="450"/>
      <c r="JUS104" s="450"/>
      <c r="JUT104" s="450"/>
      <c r="JUU104" s="450"/>
      <c r="JUV104" s="450"/>
      <c r="JUW104" s="450"/>
      <c r="JUX104" s="450"/>
      <c r="JUY104" s="450"/>
      <c r="JUZ104" s="450"/>
      <c r="JVA104" s="450"/>
      <c r="JVB104" s="450"/>
      <c r="JVC104" s="450"/>
      <c r="JVD104" s="450"/>
      <c r="JVE104" s="450"/>
      <c r="JVF104" s="450"/>
      <c r="JVG104" s="450"/>
      <c r="JVH104" s="450"/>
      <c r="JVI104" s="450"/>
      <c r="JVJ104" s="450"/>
      <c r="JVK104" s="450"/>
      <c r="JVL104" s="450"/>
      <c r="JVM104" s="450"/>
      <c r="JVN104" s="450"/>
      <c r="JVO104" s="450"/>
      <c r="JVP104" s="450"/>
      <c r="JVQ104" s="450"/>
      <c r="JVR104" s="450"/>
      <c r="JVS104" s="450"/>
      <c r="JVT104" s="450"/>
      <c r="JVU104" s="450"/>
      <c r="JVV104" s="450"/>
      <c r="JVW104" s="450"/>
      <c r="JVX104" s="450"/>
      <c r="JVY104" s="450"/>
      <c r="JVZ104" s="450"/>
      <c r="JWA104" s="450"/>
      <c r="JWB104" s="450"/>
      <c r="JWC104" s="450"/>
      <c r="JWD104" s="450"/>
      <c r="JWE104" s="450"/>
      <c r="JWF104" s="450"/>
      <c r="JWG104" s="450"/>
      <c r="JWH104" s="450"/>
      <c r="JWI104" s="450"/>
      <c r="JWJ104" s="450"/>
      <c r="JWK104" s="450"/>
      <c r="JWL104" s="450"/>
      <c r="JWM104" s="450"/>
      <c r="JWN104" s="450"/>
      <c r="JWO104" s="450"/>
      <c r="JWP104" s="450"/>
      <c r="JWQ104" s="450"/>
      <c r="JWR104" s="450"/>
      <c r="JWS104" s="450"/>
      <c r="JWT104" s="450"/>
      <c r="JWU104" s="450"/>
      <c r="JWV104" s="450"/>
      <c r="JWW104" s="450"/>
      <c r="JWX104" s="450"/>
      <c r="JWY104" s="450"/>
      <c r="JWZ104" s="450"/>
      <c r="JXA104" s="450"/>
      <c r="JXB104" s="450"/>
      <c r="JXC104" s="450"/>
      <c r="JXD104" s="450"/>
      <c r="JXE104" s="450"/>
      <c r="JXF104" s="450"/>
      <c r="JXG104" s="450"/>
      <c r="JXH104" s="450"/>
      <c r="JXI104" s="450"/>
      <c r="JXJ104" s="450"/>
      <c r="JXK104" s="450"/>
      <c r="JXL104" s="450"/>
      <c r="JXM104" s="450"/>
      <c r="JXN104" s="450"/>
      <c r="JXO104" s="450"/>
      <c r="JXP104" s="450"/>
      <c r="JXQ104" s="450"/>
      <c r="JXR104" s="450"/>
      <c r="JXS104" s="450"/>
      <c r="JXT104" s="450"/>
      <c r="JXU104" s="450"/>
      <c r="JXV104" s="450"/>
      <c r="JXW104" s="450"/>
      <c r="JXX104" s="450"/>
      <c r="JXY104" s="450"/>
      <c r="JXZ104" s="450"/>
      <c r="JYA104" s="450"/>
      <c r="JYB104" s="450"/>
      <c r="JYC104" s="450"/>
      <c r="JYD104" s="450"/>
      <c r="JYE104" s="450"/>
      <c r="JYF104" s="450"/>
      <c r="JYG104" s="450"/>
      <c r="JYH104" s="450"/>
      <c r="JYI104" s="450"/>
      <c r="JYJ104" s="450"/>
      <c r="JYK104" s="450"/>
      <c r="JYL104" s="450"/>
      <c r="JYM104" s="450"/>
      <c r="JYN104" s="450"/>
      <c r="JYO104" s="450"/>
      <c r="JYP104" s="450"/>
      <c r="JYQ104" s="450"/>
      <c r="JYR104" s="450"/>
      <c r="JYS104" s="450"/>
      <c r="JYT104" s="450"/>
      <c r="JYU104" s="450"/>
      <c r="JYV104" s="450"/>
      <c r="JYW104" s="450"/>
      <c r="JYX104" s="450"/>
      <c r="JYY104" s="450"/>
      <c r="JYZ104" s="450"/>
      <c r="JZA104" s="450"/>
      <c r="JZB104" s="450"/>
      <c r="JZC104" s="450"/>
      <c r="JZD104" s="450"/>
      <c r="JZE104" s="450"/>
      <c r="JZF104" s="450"/>
      <c r="JZG104" s="450"/>
      <c r="JZH104" s="450"/>
      <c r="JZI104" s="450"/>
      <c r="JZJ104" s="450"/>
      <c r="JZK104" s="450"/>
      <c r="JZL104" s="450"/>
      <c r="JZM104" s="450"/>
      <c r="JZN104" s="450"/>
      <c r="JZO104" s="450"/>
      <c r="JZP104" s="450"/>
      <c r="JZQ104" s="450"/>
      <c r="JZR104" s="450"/>
      <c r="JZS104" s="450"/>
      <c r="JZT104" s="450"/>
      <c r="JZU104" s="450"/>
      <c r="JZV104" s="450"/>
      <c r="JZW104" s="450"/>
      <c r="JZX104" s="450"/>
      <c r="JZY104" s="450"/>
      <c r="JZZ104" s="450"/>
      <c r="KAA104" s="450"/>
      <c r="KAB104" s="450"/>
      <c r="KAC104" s="450"/>
      <c r="KAD104" s="450"/>
      <c r="KAE104" s="450"/>
      <c r="KAF104" s="450"/>
      <c r="KAG104" s="450"/>
      <c r="KAH104" s="450"/>
      <c r="KAI104" s="450"/>
      <c r="KAJ104" s="450"/>
      <c r="KAK104" s="450"/>
      <c r="KAL104" s="450"/>
      <c r="KAM104" s="450"/>
      <c r="KAN104" s="450"/>
      <c r="KAO104" s="450"/>
      <c r="KAP104" s="450"/>
      <c r="KAQ104" s="450"/>
      <c r="KAR104" s="450"/>
      <c r="KAS104" s="450"/>
      <c r="KAT104" s="450"/>
      <c r="KAU104" s="450"/>
      <c r="KAV104" s="450"/>
      <c r="KAW104" s="450"/>
      <c r="KAX104" s="450"/>
      <c r="KAY104" s="450"/>
      <c r="KAZ104" s="450"/>
      <c r="KBA104" s="450"/>
      <c r="KBB104" s="450"/>
      <c r="KBC104" s="450"/>
      <c r="KBD104" s="450"/>
      <c r="KBE104" s="450"/>
      <c r="KBF104" s="450"/>
      <c r="KBG104" s="450"/>
      <c r="KBH104" s="450"/>
      <c r="KBI104" s="450"/>
      <c r="KBJ104" s="450"/>
      <c r="KBK104" s="450"/>
      <c r="KBL104" s="450"/>
      <c r="KBM104" s="450"/>
      <c r="KBN104" s="450"/>
      <c r="KBO104" s="450"/>
      <c r="KBP104" s="450"/>
      <c r="KBQ104" s="450"/>
      <c r="KBR104" s="450"/>
      <c r="KBS104" s="450"/>
      <c r="KBT104" s="450"/>
      <c r="KBU104" s="450"/>
      <c r="KBV104" s="450"/>
      <c r="KBW104" s="450"/>
      <c r="KBX104" s="450"/>
      <c r="KBY104" s="450"/>
      <c r="KBZ104" s="450"/>
      <c r="KCA104" s="450"/>
      <c r="KCB104" s="450"/>
      <c r="KCC104" s="450"/>
      <c r="KCD104" s="450"/>
      <c r="KCE104" s="450"/>
      <c r="KCF104" s="450"/>
      <c r="KCG104" s="450"/>
      <c r="KCH104" s="450"/>
      <c r="KCI104" s="450"/>
      <c r="KCJ104" s="450"/>
      <c r="KCK104" s="450"/>
      <c r="KCL104" s="450"/>
      <c r="KCM104" s="450"/>
      <c r="KCN104" s="450"/>
      <c r="KCO104" s="450"/>
      <c r="KCP104" s="450"/>
      <c r="KCQ104" s="450"/>
      <c r="KCR104" s="450"/>
      <c r="KCS104" s="450"/>
      <c r="KCT104" s="450"/>
      <c r="KCU104" s="450"/>
      <c r="KCV104" s="450"/>
      <c r="KCW104" s="450"/>
      <c r="KCX104" s="450"/>
      <c r="KCY104" s="450"/>
      <c r="KCZ104" s="450"/>
      <c r="KDA104" s="450"/>
      <c r="KDB104" s="450"/>
      <c r="KDC104" s="450"/>
      <c r="KDD104" s="450"/>
      <c r="KDE104" s="450"/>
      <c r="KDF104" s="450"/>
      <c r="KDG104" s="450"/>
      <c r="KDH104" s="450"/>
      <c r="KDI104" s="450"/>
      <c r="KDJ104" s="450"/>
      <c r="KDK104" s="450"/>
      <c r="KDL104" s="450"/>
      <c r="KDM104" s="450"/>
      <c r="KDN104" s="450"/>
      <c r="KDO104" s="450"/>
      <c r="KDP104" s="450"/>
      <c r="KDQ104" s="450"/>
      <c r="KDR104" s="450"/>
      <c r="KDS104" s="450"/>
      <c r="KDT104" s="450"/>
      <c r="KDU104" s="450"/>
      <c r="KDV104" s="450"/>
      <c r="KDW104" s="450"/>
      <c r="KDX104" s="450"/>
      <c r="KDY104" s="450"/>
      <c r="KDZ104" s="450"/>
      <c r="KEA104" s="450"/>
      <c r="KEB104" s="450"/>
      <c r="KEC104" s="450"/>
      <c r="KED104" s="450"/>
      <c r="KEE104" s="450"/>
      <c r="KEF104" s="450"/>
      <c r="KEG104" s="450"/>
      <c r="KEH104" s="450"/>
      <c r="KEI104" s="450"/>
      <c r="KEJ104" s="450"/>
      <c r="KEK104" s="450"/>
      <c r="KEL104" s="450"/>
      <c r="KEM104" s="450"/>
      <c r="KEN104" s="450"/>
      <c r="KEO104" s="450"/>
      <c r="KEP104" s="450"/>
      <c r="KEQ104" s="450"/>
      <c r="KER104" s="450"/>
      <c r="KES104" s="450"/>
      <c r="KET104" s="450"/>
      <c r="KEU104" s="450"/>
      <c r="KEV104" s="450"/>
      <c r="KEW104" s="450"/>
      <c r="KEX104" s="450"/>
      <c r="KEY104" s="450"/>
      <c r="KEZ104" s="450"/>
      <c r="KFA104" s="450"/>
      <c r="KFB104" s="450"/>
      <c r="KFC104" s="450"/>
      <c r="KFD104" s="450"/>
      <c r="KFE104" s="450"/>
      <c r="KFF104" s="450"/>
      <c r="KFG104" s="450"/>
      <c r="KFH104" s="450"/>
      <c r="KFI104" s="450"/>
      <c r="KFJ104" s="450"/>
      <c r="KFK104" s="450"/>
      <c r="KFL104" s="450"/>
      <c r="KFM104" s="450"/>
      <c r="KFN104" s="450"/>
      <c r="KFO104" s="450"/>
      <c r="KFP104" s="450"/>
      <c r="KFQ104" s="450"/>
      <c r="KFR104" s="450"/>
      <c r="KFS104" s="450"/>
      <c r="KFT104" s="450"/>
      <c r="KFU104" s="450"/>
      <c r="KFV104" s="450"/>
      <c r="KFW104" s="450"/>
      <c r="KFX104" s="450"/>
      <c r="KFY104" s="450"/>
      <c r="KFZ104" s="450"/>
      <c r="KGA104" s="450"/>
      <c r="KGB104" s="450"/>
      <c r="KGC104" s="450"/>
      <c r="KGD104" s="450"/>
      <c r="KGE104" s="450"/>
      <c r="KGF104" s="450"/>
      <c r="KGG104" s="450"/>
      <c r="KGH104" s="450"/>
      <c r="KGI104" s="450"/>
      <c r="KGJ104" s="450"/>
      <c r="KGK104" s="450"/>
      <c r="KGL104" s="450"/>
      <c r="KGM104" s="450"/>
      <c r="KGN104" s="450"/>
      <c r="KGO104" s="450"/>
      <c r="KGP104" s="450"/>
      <c r="KGQ104" s="450"/>
      <c r="KGR104" s="450"/>
      <c r="KGS104" s="450"/>
      <c r="KGT104" s="450"/>
      <c r="KGU104" s="450"/>
      <c r="KGV104" s="450"/>
      <c r="KGW104" s="450"/>
      <c r="KGX104" s="450"/>
      <c r="KGY104" s="450"/>
      <c r="KGZ104" s="450"/>
      <c r="KHA104" s="450"/>
      <c r="KHB104" s="450"/>
      <c r="KHC104" s="450"/>
      <c r="KHD104" s="450"/>
      <c r="KHE104" s="450"/>
      <c r="KHF104" s="450"/>
      <c r="KHG104" s="450"/>
      <c r="KHH104" s="450"/>
      <c r="KHI104" s="450"/>
      <c r="KHJ104" s="450"/>
      <c r="KHK104" s="450"/>
      <c r="KHL104" s="450"/>
      <c r="KHM104" s="450"/>
      <c r="KHN104" s="450"/>
      <c r="KHO104" s="450"/>
      <c r="KHP104" s="450"/>
      <c r="KHQ104" s="450"/>
      <c r="KHR104" s="450"/>
      <c r="KHS104" s="450"/>
      <c r="KHT104" s="450"/>
      <c r="KHU104" s="450"/>
      <c r="KHV104" s="450"/>
      <c r="KHW104" s="450"/>
      <c r="KHX104" s="450"/>
      <c r="KHY104" s="450"/>
      <c r="KHZ104" s="450"/>
      <c r="KIA104" s="450"/>
      <c r="KIB104" s="450"/>
      <c r="KIC104" s="450"/>
      <c r="KID104" s="450"/>
      <c r="KIE104" s="450"/>
      <c r="KIF104" s="450"/>
      <c r="KIG104" s="450"/>
      <c r="KIH104" s="450"/>
      <c r="KII104" s="450"/>
      <c r="KIJ104" s="450"/>
      <c r="KIK104" s="450"/>
      <c r="KIL104" s="450"/>
      <c r="KIM104" s="450"/>
      <c r="KIN104" s="450"/>
      <c r="KIO104" s="450"/>
      <c r="KIP104" s="450"/>
      <c r="KIQ104" s="450"/>
      <c r="KIR104" s="450"/>
      <c r="KIS104" s="450"/>
      <c r="KIT104" s="450"/>
      <c r="KIU104" s="450"/>
      <c r="KIV104" s="450"/>
      <c r="KIW104" s="450"/>
      <c r="KIX104" s="450"/>
      <c r="KIY104" s="450"/>
      <c r="KIZ104" s="450"/>
      <c r="KJA104" s="450"/>
      <c r="KJB104" s="450"/>
      <c r="KJC104" s="450"/>
      <c r="KJD104" s="450"/>
      <c r="KJE104" s="450"/>
      <c r="KJF104" s="450"/>
      <c r="KJG104" s="450"/>
      <c r="KJH104" s="450"/>
      <c r="KJI104" s="450"/>
      <c r="KJJ104" s="450"/>
      <c r="KJK104" s="450"/>
      <c r="KJL104" s="450"/>
      <c r="KJM104" s="450"/>
      <c r="KJN104" s="450"/>
      <c r="KJO104" s="450"/>
      <c r="KJP104" s="450"/>
      <c r="KJQ104" s="450"/>
      <c r="KJR104" s="450"/>
      <c r="KJS104" s="450"/>
      <c r="KJT104" s="450"/>
      <c r="KJU104" s="450"/>
      <c r="KJV104" s="450"/>
      <c r="KJW104" s="450"/>
      <c r="KJX104" s="450"/>
      <c r="KJY104" s="450"/>
      <c r="KJZ104" s="450"/>
      <c r="KKA104" s="450"/>
      <c r="KKB104" s="450"/>
      <c r="KKC104" s="450"/>
      <c r="KKD104" s="450"/>
      <c r="KKE104" s="450"/>
      <c r="KKF104" s="450"/>
      <c r="KKG104" s="450"/>
      <c r="KKH104" s="450"/>
      <c r="KKI104" s="450"/>
      <c r="KKJ104" s="450"/>
      <c r="KKK104" s="450"/>
      <c r="KKL104" s="450"/>
      <c r="KKM104" s="450"/>
      <c r="KKN104" s="450"/>
      <c r="KKO104" s="450"/>
      <c r="KKP104" s="450"/>
      <c r="KKQ104" s="450"/>
      <c r="KKR104" s="450"/>
      <c r="KKS104" s="450"/>
      <c r="KKT104" s="450"/>
      <c r="KKU104" s="450"/>
      <c r="KKV104" s="450"/>
      <c r="KKW104" s="450"/>
      <c r="KKX104" s="450"/>
      <c r="KKY104" s="450"/>
      <c r="KKZ104" s="450"/>
      <c r="KLA104" s="450"/>
      <c r="KLB104" s="450"/>
      <c r="KLC104" s="450"/>
      <c r="KLD104" s="450"/>
      <c r="KLE104" s="450"/>
      <c r="KLF104" s="450"/>
      <c r="KLG104" s="450"/>
      <c r="KLH104" s="450"/>
      <c r="KLI104" s="450"/>
      <c r="KLJ104" s="450"/>
      <c r="KLK104" s="450"/>
      <c r="KLL104" s="450"/>
      <c r="KLM104" s="450"/>
      <c r="KLN104" s="450"/>
      <c r="KLO104" s="450"/>
      <c r="KLP104" s="450"/>
      <c r="KLQ104" s="450"/>
      <c r="KLR104" s="450"/>
      <c r="KLS104" s="450"/>
      <c r="KLT104" s="450"/>
      <c r="KLU104" s="450"/>
      <c r="KLV104" s="450"/>
      <c r="KLW104" s="450"/>
      <c r="KLX104" s="450"/>
      <c r="KLY104" s="450"/>
      <c r="KLZ104" s="450"/>
      <c r="KMA104" s="450"/>
      <c r="KMB104" s="450"/>
      <c r="KMC104" s="450"/>
      <c r="KMD104" s="450"/>
      <c r="KME104" s="450"/>
      <c r="KMF104" s="450"/>
      <c r="KMG104" s="450"/>
      <c r="KMH104" s="450"/>
      <c r="KMI104" s="450"/>
      <c r="KMJ104" s="450"/>
      <c r="KMK104" s="450"/>
      <c r="KML104" s="450"/>
      <c r="KMM104" s="450"/>
      <c r="KMN104" s="450"/>
      <c r="KMO104" s="450"/>
      <c r="KMP104" s="450"/>
      <c r="KMQ104" s="450"/>
      <c r="KMR104" s="450"/>
      <c r="KMS104" s="450"/>
      <c r="KMT104" s="450"/>
      <c r="KMU104" s="450"/>
      <c r="KMV104" s="450"/>
      <c r="KMW104" s="450"/>
      <c r="KMX104" s="450"/>
      <c r="KMY104" s="450"/>
      <c r="KMZ104" s="450"/>
      <c r="KNA104" s="450"/>
      <c r="KNB104" s="450"/>
      <c r="KNC104" s="450"/>
      <c r="KND104" s="450"/>
      <c r="KNE104" s="450"/>
      <c r="KNF104" s="450"/>
      <c r="KNG104" s="450"/>
      <c r="KNH104" s="450"/>
      <c r="KNI104" s="450"/>
      <c r="KNJ104" s="450"/>
      <c r="KNK104" s="450"/>
      <c r="KNL104" s="450"/>
      <c r="KNM104" s="450"/>
      <c r="KNN104" s="450"/>
      <c r="KNO104" s="450"/>
      <c r="KNP104" s="450"/>
      <c r="KNQ104" s="450"/>
      <c r="KNR104" s="450"/>
      <c r="KNS104" s="450"/>
      <c r="KNT104" s="450"/>
      <c r="KNU104" s="450"/>
      <c r="KNV104" s="450"/>
      <c r="KNW104" s="450"/>
      <c r="KNX104" s="450"/>
      <c r="KNY104" s="450"/>
      <c r="KNZ104" s="450"/>
      <c r="KOA104" s="450"/>
      <c r="KOB104" s="450"/>
      <c r="KOC104" s="450"/>
      <c r="KOD104" s="450"/>
      <c r="KOE104" s="450"/>
      <c r="KOF104" s="450"/>
      <c r="KOG104" s="450"/>
      <c r="KOH104" s="450"/>
      <c r="KOI104" s="450"/>
      <c r="KOJ104" s="450"/>
      <c r="KOK104" s="450"/>
      <c r="KOL104" s="450"/>
      <c r="KOM104" s="450"/>
      <c r="KON104" s="450"/>
      <c r="KOO104" s="450"/>
      <c r="KOP104" s="450"/>
      <c r="KOQ104" s="450"/>
      <c r="KOR104" s="450"/>
      <c r="KOS104" s="450"/>
      <c r="KOT104" s="450"/>
      <c r="KOU104" s="450"/>
      <c r="KOV104" s="450"/>
      <c r="KOW104" s="450"/>
      <c r="KOX104" s="450"/>
      <c r="KOY104" s="450"/>
      <c r="KOZ104" s="450"/>
      <c r="KPA104" s="450"/>
      <c r="KPB104" s="450"/>
      <c r="KPC104" s="450"/>
      <c r="KPD104" s="450"/>
      <c r="KPE104" s="450"/>
      <c r="KPF104" s="450"/>
      <c r="KPG104" s="450"/>
      <c r="KPH104" s="450"/>
      <c r="KPI104" s="450"/>
      <c r="KPJ104" s="450"/>
      <c r="KPK104" s="450"/>
      <c r="KPL104" s="450"/>
      <c r="KPM104" s="450"/>
      <c r="KPN104" s="450"/>
      <c r="KPO104" s="450"/>
      <c r="KPP104" s="450"/>
      <c r="KPQ104" s="450"/>
      <c r="KPR104" s="450"/>
      <c r="KPS104" s="450"/>
      <c r="KPT104" s="450"/>
      <c r="KPU104" s="450"/>
      <c r="KPV104" s="450"/>
      <c r="KPW104" s="450"/>
      <c r="KPX104" s="450"/>
      <c r="KPY104" s="450"/>
      <c r="KPZ104" s="450"/>
      <c r="KQA104" s="450"/>
      <c r="KQB104" s="450"/>
      <c r="KQC104" s="450"/>
      <c r="KQD104" s="450"/>
      <c r="KQE104" s="450"/>
      <c r="KQF104" s="450"/>
      <c r="KQG104" s="450"/>
      <c r="KQH104" s="450"/>
      <c r="KQI104" s="450"/>
      <c r="KQJ104" s="450"/>
      <c r="KQK104" s="450"/>
      <c r="KQL104" s="450"/>
      <c r="KQM104" s="450"/>
      <c r="KQN104" s="450"/>
      <c r="KQO104" s="450"/>
      <c r="KQP104" s="450"/>
      <c r="KQQ104" s="450"/>
      <c r="KQR104" s="450"/>
      <c r="KQS104" s="450"/>
      <c r="KQT104" s="450"/>
      <c r="KQU104" s="450"/>
      <c r="KQV104" s="450"/>
      <c r="KQW104" s="450"/>
      <c r="KQX104" s="450"/>
      <c r="KQY104" s="450"/>
      <c r="KQZ104" s="450"/>
      <c r="KRA104" s="450"/>
      <c r="KRB104" s="450"/>
      <c r="KRC104" s="450"/>
      <c r="KRD104" s="450"/>
      <c r="KRE104" s="450"/>
      <c r="KRF104" s="450"/>
      <c r="KRG104" s="450"/>
      <c r="KRH104" s="450"/>
      <c r="KRI104" s="450"/>
      <c r="KRJ104" s="450"/>
      <c r="KRK104" s="450"/>
      <c r="KRL104" s="450"/>
      <c r="KRM104" s="450"/>
      <c r="KRN104" s="450"/>
      <c r="KRO104" s="450"/>
      <c r="KRP104" s="450"/>
      <c r="KRQ104" s="450"/>
      <c r="KRR104" s="450"/>
      <c r="KRS104" s="450"/>
      <c r="KRT104" s="450"/>
      <c r="KRU104" s="450"/>
      <c r="KRV104" s="450"/>
      <c r="KRW104" s="450"/>
      <c r="KRX104" s="450"/>
      <c r="KRY104" s="450"/>
      <c r="KRZ104" s="450"/>
      <c r="KSA104" s="450"/>
      <c r="KSB104" s="450"/>
      <c r="KSC104" s="450"/>
      <c r="KSD104" s="450"/>
      <c r="KSE104" s="450"/>
      <c r="KSF104" s="450"/>
      <c r="KSG104" s="450"/>
      <c r="KSH104" s="450"/>
      <c r="KSI104" s="450"/>
      <c r="KSJ104" s="450"/>
      <c r="KSK104" s="450"/>
      <c r="KSL104" s="450"/>
      <c r="KSM104" s="450"/>
      <c r="KSN104" s="450"/>
      <c r="KSO104" s="450"/>
      <c r="KSP104" s="450"/>
      <c r="KSQ104" s="450"/>
      <c r="KSR104" s="450"/>
      <c r="KSS104" s="450"/>
      <c r="KST104" s="450"/>
      <c r="KSU104" s="450"/>
      <c r="KSV104" s="450"/>
      <c r="KSW104" s="450"/>
      <c r="KSX104" s="450"/>
      <c r="KSY104" s="450"/>
      <c r="KSZ104" s="450"/>
      <c r="KTA104" s="450"/>
      <c r="KTB104" s="450"/>
      <c r="KTC104" s="450"/>
      <c r="KTD104" s="450"/>
      <c r="KTE104" s="450"/>
      <c r="KTF104" s="450"/>
      <c r="KTG104" s="450"/>
      <c r="KTH104" s="450"/>
      <c r="KTI104" s="450"/>
      <c r="KTJ104" s="450"/>
      <c r="KTK104" s="450"/>
      <c r="KTL104" s="450"/>
      <c r="KTM104" s="450"/>
      <c r="KTN104" s="450"/>
      <c r="KTO104" s="450"/>
      <c r="KTP104" s="450"/>
      <c r="KTQ104" s="450"/>
      <c r="KTR104" s="450"/>
      <c r="KTS104" s="450"/>
      <c r="KTT104" s="450"/>
      <c r="KTU104" s="450"/>
      <c r="KTV104" s="450"/>
      <c r="KTW104" s="450"/>
      <c r="KTX104" s="450"/>
      <c r="KTY104" s="450"/>
      <c r="KTZ104" s="450"/>
      <c r="KUA104" s="450"/>
      <c r="KUB104" s="450"/>
      <c r="KUC104" s="450"/>
      <c r="KUD104" s="450"/>
      <c r="KUE104" s="450"/>
      <c r="KUF104" s="450"/>
      <c r="KUG104" s="450"/>
      <c r="KUH104" s="450"/>
      <c r="KUI104" s="450"/>
      <c r="KUJ104" s="450"/>
      <c r="KUK104" s="450"/>
      <c r="KUL104" s="450"/>
      <c r="KUM104" s="450"/>
      <c r="KUN104" s="450"/>
      <c r="KUO104" s="450"/>
      <c r="KUP104" s="450"/>
      <c r="KUQ104" s="450"/>
      <c r="KUR104" s="450"/>
      <c r="KUS104" s="450"/>
      <c r="KUT104" s="450"/>
      <c r="KUU104" s="450"/>
      <c r="KUV104" s="450"/>
      <c r="KUW104" s="450"/>
      <c r="KUX104" s="450"/>
      <c r="KUY104" s="450"/>
      <c r="KUZ104" s="450"/>
      <c r="KVA104" s="450"/>
      <c r="KVB104" s="450"/>
      <c r="KVC104" s="450"/>
      <c r="KVD104" s="450"/>
      <c r="KVE104" s="450"/>
      <c r="KVF104" s="450"/>
      <c r="KVG104" s="450"/>
      <c r="KVH104" s="450"/>
      <c r="KVI104" s="450"/>
      <c r="KVJ104" s="450"/>
      <c r="KVK104" s="450"/>
      <c r="KVL104" s="450"/>
      <c r="KVM104" s="450"/>
      <c r="KVN104" s="450"/>
      <c r="KVO104" s="450"/>
      <c r="KVP104" s="450"/>
      <c r="KVQ104" s="450"/>
      <c r="KVR104" s="450"/>
      <c r="KVS104" s="450"/>
      <c r="KVT104" s="450"/>
      <c r="KVU104" s="450"/>
      <c r="KVV104" s="450"/>
      <c r="KVW104" s="450"/>
      <c r="KVX104" s="450"/>
      <c r="KVY104" s="450"/>
      <c r="KVZ104" s="450"/>
      <c r="KWA104" s="450"/>
      <c r="KWB104" s="450"/>
      <c r="KWC104" s="450"/>
      <c r="KWD104" s="450"/>
      <c r="KWE104" s="450"/>
      <c r="KWF104" s="450"/>
      <c r="KWG104" s="450"/>
      <c r="KWH104" s="450"/>
      <c r="KWI104" s="450"/>
      <c r="KWJ104" s="450"/>
      <c r="KWK104" s="450"/>
      <c r="KWL104" s="450"/>
      <c r="KWM104" s="450"/>
      <c r="KWN104" s="450"/>
      <c r="KWO104" s="450"/>
      <c r="KWP104" s="450"/>
      <c r="KWQ104" s="450"/>
      <c r="KWR104" s="450"/>
      <c r="KWS104" s="450"/>
      <c r="KWT104" s="450"/>
      <c r="KWU104" s="450"/>
      <c r="KWV104" s="450"/>
      <c r="KWW104" s="450"/>
      <c r="KWX104" s="450"/>
      <c r="KWY104" s="450"/>
      <c r="KWZ104" s="450"/>
      <c r="KXA104" s="450"/>
      <c r="KXB104" s="450"/>
      <c r="KXC104" s="450"/>
      <c r="KXD104" s="450"/>
      <c r="KXE104" s="450"/>
      <c r="KXF104" s="450"/>
      <c r="KXG104" s="450"/>
      <c r="KXH104" s="450"/>
      <c r="KXI104" s="450"/>
      <c r="KXJ104" s="450"/>
      <c r="KXK104" s="450"/>
      <c r="KXL104" s="450"/>
      <c r="KXM104" s="450"/>
      <c r="KXN104" s="450"/>
      <c r="KXO104" s="450"/>
      <c r="KXP104" s="450"/>
      <c r="KXQ104" s="450"/>
      <c r="KXR104" s="450"/>
      <c r="KXS104" s="450"/>
      <c r="KXT104" s="450"/>
      <c r="KXU104" s="450"/>
      <c r="KXV104" s="450"/>
      <c r="KXW104" s="450"/>
      <c r="KXX104" s="450"/>
      <c r="KXY104" s="450"/>
      <c r="KXZ104" s="450"/>
      <c r="KYA104" s="450"/>
      <c r="KYB104" s="450"/>
      <c r="KYC104" s="450"/>
      <c r="KYD104" s="450"/>
      <c r="KYE104" s="450"/>
      <c r="KYF104" s="450"/>
      <c r="KYG104" s="450"/>
      <c r="KYH104" s="450"/>
      <c r="KYI104" s="450"/>
      <c r="KYJ104" s="450"/>
      <c r="KYK104" s="450"/>
      <c r="KYL104" s="450"/>
      <c r="KYM104" s="450"/>
      <c r="KYN104" s="450"/>
      <c r="KYO104" s="450"/>
      <c r="KYP104" s="450"/>
      <c r="KYQ104" s="450"/>
      <c r="KYR104" s="450"/>
      <c r="KYS104" s="450"/>
      <c r="KYT104" s="450"/>
      <c r="KYU104" s="450"/>
      <c r="KYV104" s="450"/>
      <c r="KYW104" s="450"/>
      <c r="KYX104" s="450"/>
      <c r="KYY104" s="450"/>
      <c r="KYZ104" s="450"/>
      <c r="KZA104" s="450"/>
      <c r="KZB104" s="450"/>
      <c r="KZC104" s="450"/>
      <c r="KZD104" s="450"/>
      <c r="KZE104" s="450"/>
      <c r="KZF104" s="450"/>
      <c r="KZG104" s="450"/>
      <c r="KZH104" s="450"/>
      <c r="KZI104" s="450"/>
      <c r="KZJ104" s="450"/>
      <c r="KZK104" s="450"/>
      <c r="KZL104" s="450"/>
      <c r="KZM104" s="450"/>
      <c r="KZN104" s="450"/>
      <c r="KZO104" s="450"/>
      <c r="KZP104" s="450"/>
      <c r="KZQ104" s="450"/>
      <c r="KZR104" s="450"/>
      <c r="KZS104" s="450"/>
      <c r="KZT104" s="450"/>
      <c r="KZU104" s="450"/>
      <c r="KZV104" s="450"/>
      <c r="KZW104" s="450"/>
      <c r="KZX104" s="450"/>
      <c r="KZY104" s="450"/>
      <c r="KZZ104" s="450"/>
      <c r="LAA104" s="450"/>
      <c r="LAB104" s="450"/>
      <c r="LAC104" s="450"/>
      <c r="LAD104" s="450"/>
      <c r="LAE104" s="450"/>
      <c r="LAF104" s="450"/>
      <c r="LAG104" s="450"/>
      <c r="LAH104" s="450"/>
      <c r="LAI104" s="450"/>
      <c r="LAJ104" s="450"/>
      <c r="LAK104" s="450"/>
      <c r="LAL104" s="450"/>
      <c r="LAM104" s="450"/>
      <c r="LAN104" s="450"/>
      <c r="LAO104" s="450"/>
      <c r="LAP104" s="450"/>
      <c r="LAQ104" s="450"/>
      <c r="LAR104" s="450"/>
      <c r="LAS104" s="450"/>
      <c r="LAT104" s="450"/>
      <c r="LAU104" s="450"/>
      <c r="LAV104" s="450"/>
      <c r="LAW104" s="450"/>
      <c r="LAX104" s="450"/>
      <c r="LAY104" s="450"/>
      <c r="LAZ104" s="450"/>
      <c r="LBA104" s="450"/>
      <c r="LBB104" s="450"/>
      <c r="LBC104" s="450"/>
      <c r="LBD104" s="450"/>
      <c r="LBE104" s="450"/>
      <c r="LBF104" s="450"/>
      <c r="LBG104" s="450"/>
      <c r="LBH104" s="450"/>
      <c r="LBI104" s="450"/>
      <c r="LBJ104" s="450"/>
      <c r="LBK104" s="450"/>
      <c r="LBL104" s="450"/>
      <c r="LBM104" s="450"/>
      <c r="LBN104" s="450"/>
      <c r="LBO104" s="450"/>
      <c r="LBP104" s="450"/>
      <c r="LBQ104" s="450"/>
      <c r="LBR104" s="450"/>
      <c r="LBS104" s="450"/>
      <c r="LBT104" s="450"/>
      <c r="LBU104" s="450"/>
      <c r="LBV104" s="450"/>
      <c r="LBW104" s="450"/>
      <c r="LBX104" s="450"/>
      <c r="LBY104" s="450"/>
      <c r="LBZ104" s="450"/>
      <c r="LCA104" s="450"/>
      <c r="LCB104" s="450"/>
      <c r="LCC104" s="450"/>
      <c r="LCD104" s="450"/>
      <c r="LCE104" s="450"/>
      <c r="LCF104" s="450"/>
      <c r="LCG104" s="450"/>
      <c r="LCH104" s="450"/>
      <c r="LCI104" s="450"/>
      <c r="LCJ104" s="450"/>
      <c r="LCK104" s="450"/>
      <c r="LCL104" s="450"/>
      <c r="LCM104" s="450"/>
      <c r="LCN104" s="450"/>
      <c r="LCO104" s="450"/>
      <c r="LCP104" s="450"/>
      <c r="LCQ104" s="450"/>
      <c r="LCR104" s="450"/>
      <c r="LCS104" s="450"/>
      <c r="LCT104" s="450"/>
      <c r="LCU104" s="450"/>
      <c r="LCV104" s="450"/>
      <c r="LCW104" s="450"/>
      <c r="LCX104" s="450"/>
      <c r="LCY104" s="450"/>
      <c r="LCZ104" s="450"/>
      <c r="LDA104" s="450"/>
      <c r="LDB104" s="450"/>
      <c r="LDC104" s="450"/>
      <c r="LDD104" s="450"/>
      <c r="LDE104" s="450"/>
      <c r="LDF104" s="450"/>
      <c r="LDG104" s="450"/>
      <c r="LDH104" s="450"/>
      <c r="LDI104" s="450"/>
      <c r="LDJ104" s="450"/>
      <c r="LDK104" s="450"/>
      <c r="LDL104" s="450"/>
      <c r="LDM104" s="450"/>
      <c r="LDN104" s="450"/>
      <c r="LDO104" s="450"/>
      <c r="LDP104" s="450"/>
      <c r="LDQ104" s="450"/>
      <c r="LDR104" s="450"/>
      <c r="LDS104" s="450"/>
      <c r="LDT104" s="450"/>
      <c r="LDU104" s="450"/>
      <c r="LDV104" s="450"/>
      <c r="LDW104" s="450"/>
      <c r="LDX104" s="450"/>
      <c r="LDY104" s="450"/>
      <c r="LDZ104" s="450"/>
      <c r="LEA104" s="450"/>
      <c r="LEB104" s="450"/>
      <c r="LEC104" s="450"/>
      <c r="LED104" s="450"/>
      <c r="LEE104" s="450"/>
      <c r="LEF104" s="450"/>
      <c r="LEG104" s="450"/>
      <c r="LEH104" s="450"/>
      <c r="LEI104" s="450"/>
      <c r="LEJ104" s="450"/>
      <c r="LEK104" s="450"/>
      <c r="LEL104" s="450"/>
      <c r="LEM104" s="450"/>
      <c r="LEN104" s="450"/>
      <c r="LEO104" s="450"/>
      <c r="LEP104" s="450"/>
      <c r="LEQ104" s="450"/>
      <c r="LER104" s="450"/>
      <c r="LES104" s="450"/>
      <c r="LET104" s="450"/>
      <c r="LEU104" s="450"/>
      <c r="LEV104" s="450"/>
      <c r="LEW104" s="450"/>
      <c r="LEX104" s="450"/>
      <c r="LEY104" s="450"/>
      <c r="LEZ104" s="450"/>
      <c r="LFA104" s="450"/>
      <c r="LFB104" s="450"/>
      <c r="LFC104" s="450"/>
      <c r="LFD104" s="450"/>
      <c r="LFE104" s="450"/>
      <c r="LFF104" s="450"/>
      <c r="LFG104" s="450"/>
      <c r="LFH104" s="450"/>
      <c r="LFI104" s="450"/>
      <c r="LFJ104" s="450"/>
      <c r="LFK104" s="450"/>
      <c r="LFL104" s="450"/>
      <c r="LFM104" s="450"/>
      <c r="LFN104" s="450"/>
      <c r="LFO104" s="450"/>
      <c r="LFP104" s="450"/>
      <c r="LFQ104" s="450"/>
      <c r="LFR104" s="450"/>
      <c r="LFS104" s="450"/>
      <c r="LFT104" s="450"/>
      <c r="LFU104" s="450"/>
      <c r="LFV104" s="450"/>
      <c r="LFW104" s="450"/>
      <c r="LFX104" s="450"/>
      <c r="LFY104" s="450"/>
      <c r="LFZ104" s="450"/>
      <c r="LGA104" s="450"/>
      <c r="LGB104" s="450"/>
      <c r="LGC104" s="450"/>
      <c r="LGD104" s="450"/>
      <c r="LGE104" s="450"/>
      <c r="LGF104" s="450"/>
      <c r="LGG104" s="450"/>
      <c r="LGH104" s="450"/>
      <c r="LGI104" s="450"/>
      <c r="LGJ104" s="450"/>
      <c r="LGK104" s="450"/>
      <c r="LGL104" s="450"/>
      <c r="LGM104" s="450"/>
      <c r="LGN104" s="450"/>
      <c r="LGO104" s="450"/>
      <c r="LGP104" s="450"/>
      <c r="LGQ104" s="450"/>
      <c r="LGR104" s="450"/>
      <c r="LGS104" s="450"/>
      <c r="LGT104" s="450"/>
      <c r="LGU104" s="450"/>
      <c r="LGV104" s="450"/>
      <c r="LGW104" s="450"/>
      <c r="LGX104" s="450"/>
      <c r="LGY104" s="450"/>
      <c r="LGZ104" s="450"/>
      <c r="LHA104" s="450"/>
      <c r="LHB104" s="450"/>
      <c r="LHC104" s="450"/>
      <c r="LHD104" s="450"/>
      <c r="LHE104" s="450"/>
      <c r="LHF104" s="450"/>
      <c r="LHG104" s="450"/>
      <c r="LHH104" s="450"/>
      <c r="LHI104" s="450"/>
      <c r="LHJ104" s="450"/>
      <c r="LHK104" s="450"/>
      <c r="LHL104" s="450"/>
      <c r="LHM104" s="450"/>
      <c r="LHN104" s="450"/>
      <c r="LHO104" s="450"/>
      <c r="LHP104" s="450"/>
      <c r="LHQ104" s="450"/>
      <c r="LHR104" s="450"/>
      <c r="LHS104" s="450"/>
      <c r="LHT104" s="450"/>
      <c r="LHU104" s="450"/>
      <c r="LHV104" s="450"/>
      <c r="LHW104" s="450"/>
      <c r="LHX104" s="450"/>
      <c r="LHY104" s="450"/>
      <c r="LHZ104" s="450"/>
      <c r="LIA104" s="450"/>
      <c r="LIB104" s="450"/>
      <c r="LIC104" s="450"/>
      <c r="LID104" s="450"/>
      <c r="LIE104" s="450"/>
      <c r="LIF104" s="450"/>
      <c r="LIG104" s="450"/>
      <c r="LIH104" s="450"/>
      <c r="LII104" s="450"/>
      <c r="LIJ104" s="450"/>
      <c r="LIK104" s="450"/>
      <c r="LIL104" s="450"/>
      <c r="LIM104" s="450"/>
      <c r="LIN104" s="450"/>
      <c r="LIO104" s="450"/>
      <c r="LIP104" s="450"/>
      <c r="LIQ104" s="450"/>
      <c r="LIR104" s="450"/>
      <c r="LIS104" s="450"/>
      <c r="LIT104" s="450"/>
      <c r="LIU104" s="450"/>
      <c r="LIV104" s="450"/>
      <c r="LIW104" s="450"/>
      <c r="LIX104" s="450"/>
      <c r="LIY104" s="450"/>
      <c r="LIZ104" s="450"/>
      <c r="LJA104" s="450"/>
      <c r="LJB104" s="450"/>
      <c r="LJC104" s="450"/>
      <c r="LJD104" s="450"/>
      <c r="LJE104" s="450"/>
      <c r="LJF104" s="450"/>
      <c r="LJG104" s="450"/>
      <c r="LJH104" s="450"/>
      <c r="LJI104" s="450"/>
      <c r="LJJ104" s="450"/>
      <c r="LJK104" s="450"/>
      <c r="LJL104" s="450"/>
      <c r="LJM104" s="450"/>
      <c r="LJN104" s="450"/>
      <c r="LJO104" s="450"/>
      <c r="LJP104" s="450"/>
      <c r="LJQ104" s="450"/>
      <c r="LJR104" s="450"/>
      <c r="LJS104" s="450"/>
      <c r="LJT104" s="450"/>
      <c r="LJU104" s="450"/>
      <c r="LJV104" s="450"/>
      <c r="LJW104" s="450"/>
      <c r="LJX104" s="450"/>
      <c r="LJY104" s="450"/>
      <c r="LJZ104" s="450"/>
      <c r="LKA104" s="450"/>
      <c r="LKB104" s="450"/>
      <c r="LKC104" s="450"/>
      <c r="LKD104" s="450"/>
      <c r="LKE104" s="450"/>
      <c r="LKF104" s="450"/>
      <c r="LKG104" s="450"/>
      <c r="LKH104" s="450"/>
      <c r="LKI104" s="450"/>
      <c r="LKJ104" s="450"/>
      <c r="LKK104" s="450"/>
      <c r="LKL104" s="450"/>
      <c r="LKM104" s="450"/>
      <c r="LKN104" s="450"/>
      <c r="LKO104" s="450"/>
      <c r="LKP104" s="450"/>
      <c r="LKQ104" s="450"/>
      <c r="LKR104" s="450"/>
      <c r="LKS104" s="450"/>
      <c r="LKT104" s="450"/>
      <c r="LKU104" s="450"/>
      <c r="LKV104" s="450"/>
      <c r="LKW104" s="450"/>
      <c r="LKX104" s="450"/>
      <c r="LKY104" s="450"/>
      <c r="LKZ104" s="450"/>
      <c r="LLA104" s="450"/>
      <c r="LLB104" s="450"/>
      <c r="LLC104" s="450"/>
      <c r="LLD104" s="450"/>
      <c r="LLE104" s="450"/>
      <c r="LLF104" s="450"/>
      <c r="LLG104" s="450"/>
      <c r="LLH104" s="450"/>
      <c r="LLI104" s="450"/>
      <c r="LLJ104" s="450"/>
      <c r="LLK104" s="450"/>
      <c r="LLL104" s="450"/>
      <c r="LLM104" s="450"/>
      <c r="LLN104" s="450"/>
      <c r="LLO104" s="450"/>
      <c r="LLP104" s="450"/>
      <c r="LLQ104" s="450"/>
      <c r="LLR104" s="450"/>
      <c r="LLS104" s="450"/>
      <c r="LLT104" s="450"/>
      <c r="LLU104" s="450"/>
      <c r="LLV104" s="450"/>
      <c r="LLW104" s="450"/>
      <c r="LLX104" s="450"/>
      <c r="LLY104" s="450"/>
      <c r="LLZ104" s="450"/>
      <c r="LMA104" s="450"/>
      <c r="LMB104" s="450"/>
      <c r="LMC104" s="450"/>
      <c r="LMD104" s="450"/>
      <c r="LME104" s="450"/>
      <c r="LMF104" s="450"/>
      <c r="LMG104" s="450"/>
      <c r="LMH104" s="450"/>
      <c r="LMI104" s="450"/>
      <c r="LMJ104" s="450"/>
      <c r="LMK104" s="450"/>
      <c r="LML104" s="450"/>
      <c r="LMM104" s="450"/>
      <c r="LMN104" s="450"/>
      <c r="LMO104" s="450"/>
      <c r="LMP104" s="450"/>
      <c r="LMQ104" s="450"/>
      <c r="LMR104" s="450"/>
      <c r="LMS104" s="450"/>
      <c r="LMT104" s="450"/>
      <c r="LMU104" s="450"/>
      <c r="LMV104" s="450"/>
      <c r="LMW104" s="450"/>
      <c r="LMX104" s="450"/>
      <c r="LMY104" s="450"/>
      <c r="LMZ104" s="450"/>
      <c r="LNA104" s="450"/>
      <c r="LNB104" s="450"/>
      <c r="LNC104" s="450"/>
      <c r="LND104" s="450"/>
      <c r="LNE104" s="450"/>
      <c r="LNF104" s="450"/>
      <c r="LNG104" s="450"/>
      <c r="LNH104" s="450"/>
      <c r="LNI104" s="450"/>
      <c r="LNJ104" s="450"/>
      <c r="LNK104" s="450"/>
      <c r="LNL104" s="450"/>
      <c r="LNM104" s="450"/>
      <c r="LNN104" s="450"/>
      <c r="LNO104" s="450"/>
      <c r="LNP104" s="450"/>
      <c r="LNQ104" s="450"/>
      <c r="LNR104" s="450"/>
      <c r="LNS104" s="450"/>
      <c r="LNT104" s="450"/>
      <c r="LNU104" s="450"/>
      <c r="LNV104" s="450"/>
      <c r="LNW104" s="450"/>
      <c r="LNX104" s="450"/>
      <c r="LNY104" s="450"/>
      <c r="LNZ104" s="450"/>
      <c r="LOA104" s="450"/>
      <c r="LOB104" s="450"/>
      <c r="LOC104" s="450"/>
      <c r="LOD104" s="450"/>
      <c r="LOE104" s="450"/>
      <c r="LOF104" s="450"/>
      <c r="LOG104" s="450"/>
      <c r="LOH104" s="450"/>
      <c r="LOI104" s="450"/>
      <c r="LOJ104" s="450"/>
      <c r="LOK104" s="450"/>
      <c r="LOL104" s="450"/>
      <c r="LOM104" s="450"/>
      <c r="LON104" s="450"/>
      <c r="LOO104" s="450"/>
      <c r="LOP104" s="450"/>
      <c r="LOQ104" s="450"/>
      <c r="LOR104" s="450"/>
      <c r="LOS104" s="450"/>
      <c r="LOT104" s="450"/>
      <c r="LOU104" s="450"/>
      <c r="LOV104" s="450"/>
      <c r="LOW104" s="450"/>
      <c r="LOX104" s="450"/>
      <c r="LOY104" s="450"/>
      <c r="LOZ104" s="450"/>
      <c r="LPA104" s="450"/>
      <c r="LPB104" s="450"/>
      <c r="LPC104" s="450"/>
      <c r="LPD104" s="450"/>
      <c r="LPE104" s="450"/>
      <c r="LPF104" s="450"/>
      <c r="LPG104" s="450"/>
      <c r="LPH104" s="450"/>
      <c r="LPI104" s="450"/>
      <c r="LPJ104" s="450"/>
      <c r="LPK104" s="450"/>
      <c r="LPL104" s="450"/>
      <c r="LPM104" s="450"/>
      <c r="LPN104" s="450"/>
      <c r="LPO104" s="450"/>
      <c r="LPP104" s="450"/>
      <c r="LPQ104" s="450"/>
      <c r="LPR104" s="450"/>
      <c r="LPS104" s="450"/>
      <c r="LPT104" s="450"/>
      <c r="LPU104" s="450"/>
      <c r="LPV104" s="450"/>
      <c r="LPW104" s="450"/>
      <c r="LPX104" s="450"/>
      <c r="LPY104" s="450"/>
      <c r="LPZ104" s="450"/>
      <c r="LQA104" s="450"/>
      <c r="LQB104" s="450"/>
      <c r="LQC104" s="450"/>
      <c r="LQD104" s="450"/>
      <c r="LQE104" s="450"/>
      <c r="LQF104" s="450"/>
      <c r="LQG104" s="450"/>
      <c r="LQH104" s="450"/>
      <c r="LQI104" s="450"/>
      <c r="LQJ104" s="450"/>
      <c r="LQK104" s="450"/>
      <c r="LQL104" s="450"/>
      <c r="LQM104" s="450"/>
      <c r="LQN104" s="450"/>
      <c r="LQO104" s="450"/>
      <c r="LQP104" s="450"/>
      <c r="LQQ104" s="450"/>
      <c r="LQR104" s="450"/>
      <c r="LQS104" s="450"/>
      <c r="LQT104" s="450"/>
      <c r="LQU104" s="450"/>
      <c r="LQV104" s="450"/>
      <c r="LQW104" s="450"/>
      <c r="LQX104" s="450"/>
      <c r="LQY104" s="450"/>
      <c r="LQZ104" s="450"/>
      <c r="LRA104" s="450"/>
      <c r="LRB104" s="450"/>
      <c r="LRC104" s="450"/>
      <c r="LRD104" s="450"/>
      <c r="LRE104" s="450"/>
      <c r="LRF104" s="450"/>
      <c r="LRG104" s="450"/>
      <c r="LRH104" s="450"/>
      <c r="LRI104" s="450"/>
      <c r="LRJ104" s="450"/>
      <c r="LRK104" s="450"/>
      <c r="LRL104" s="450"/>
      <c r="LRM104" s="450"/>
      <c r="LRN104" s="450"/>
      <c r="LRO104" s="450"/>
      <c r="LRP104" s="450"/>
      <c r="LRQ104" s="450"/>
      <c r="LRR104" s="450"/>
      <c r="LRS104" s="450"/>
      <c r="LRT104" s="450"/>
      <c r="LRU104" s="450"/>
      <c r="LRV104" s="450"/>
      <c r="LRW104" s="450"/>
      <c r="LRX104" s="450"/>
      <c r="LRY104" s="450"/>
      <c r="LRZ104" s="450"/>
      <c r="LSA104" s="450"/>
      <c r="LSB104" s="450"/>
      <c r="LSC104" s="450"/>
      <c r="LSD104" s="450"/>
      <c r="LSE104" s="450"/>
      <c r="LSF104" s="450"/>
      <c r="LSG104" s="450"/>
      <c r="LSH104" s="450"/>
      <c r="LSI104" s="450"/>
      <c r="LSJ104" s="450"/>
      <c r="LSK104" s="450"/>
      <c r="LSL104" s="450"/>
      <c r="LSM104" s="450"/>
      <c r="LSN104" s="450"/>
      <c r="LSO104" s="450"/>
      <c r="LSP104" s="450"/>
      <c r="LSQ104" s="450"/>
      <c r="LSR104" s="450"/>
      <c r="LSS104" s="450"/>
      <c r="LST104" s="450"/>
      <c r="LSU104" s="450"/>
      <c r="LSV104" s="450"/>
      <c r="LSW104" s="450"/>
      <c r="LSX104" s="450"/>
      <c r="LSY104" s="450"/>
      <c r="LSZ104" s="450"/>
      <c r="LTA104" s="450"/>
      <c r="LTB104" s="450"/>
      <c r="LTC104" s="450"/>
      <c r="LTD104" s="450"/>
      <c r="LTE104" s="450"/>
      <c r="LTF104" s="450"/>
      <c r="LTG104" s="450"/>
      <c r="LTH104" s="450"/>
      <c r="LTI104" s="450"/>
      <c r="LTJ104" s="450"/>
      <c r="LTK104" s="450"/>
      <c r="LTL104" s="450"/>
      <c r="LTM104" s="450"/>
      <c r="LTN104" s="450"/>
      <c r="LTO104" s="450"/>
      <c r="LTP104" s="450"/>
      <c r="LTQ104" s="450"/>
      <c r="LTR104" s="450"/>
      <c r="LTS104" s="450"/>
      <c r="LTT104" s="450"/>
      <c r="LTU104" s="450"/>
      <c r="LTV104" s="450"/>
      <c r="LTW104" s="450"/>
      <c r="LTX104" s="450"/>
      <c r="LTY104" s="450"/>
      <c r="LTZ104" s="450"/>
      <c r="LUA104" s="450"/>
      <c r="LUB104" s="450"/>
      <c r="LUC104" s="450"/>
      <c r="LUD104" s="450"/>
      <c r="LUE104" s="450"/>
      <c r="LUF104" s="450"/>
      <c r="LUG104" s="450"/>
      <c r="LUH104" s="450"/>
      <c r="LUI104" s="450"/>
      <c r="LUJ104" s="450"/>
      <c r="LUK104" s="450"/>
      <c r="LUL104" s="450"/>
      <c r="LUM104" s="450"/>
      <c r="LUN104" s="450"/>
      <c r="LUO104" s="450"/>
      <c r="LUP104" s="450"/>
      <c r="LUQ104" s="450"/>
      <c r="LUR104" s="450"/>
      <c r="LUS104" s="450"/>
      <c r="LUT104" s="450"/>
      <c r="LUU104" s="450"/>
      <c r="LUV104" s="450"/>
      <c r="LUW104" s="450"/>
      <c r="LUX104" s="450"/>
      <c r="LUY104" s="450"/>
      <c r="LUZ104" s="450"/>
      <c r="LVA104" s="450"/>
      <c r="LVB104" s="450"/>
      <c r="LVC104" s="450"/>
      <c r="LVD104" s="450"/>
      <c r="LVE104" s="450"/>
      <c r="LVF104" s="450"/>
      <c r="LVG104" s="450"/>
      <c r="LVH104" s="450"/>
      <c r="LVI104" s="450"/>
      <c r="LVJ104" s="450"/>
      <c r="LVK104" s="450"/>
      <c r="LVL104" s="450"/>
      <c r="LVM104" s="450"/>
      <c r="LVN104" s="450"/>
      <c r="LVO104" s="450"/>
      <c r="LVP104" s="450"/>
      <c r="LVQ104" s="450"/>
      <c r="LVR104" s="450"/>
      <c r="LVS104" s="450"/>
      <c r="LVT104" s="450"/>
      <c r="LVU104" s="450"/>
      <c r="LVV104" s="450"/>
      <c r="LVW104" s="450"/>
      <c r="LVX104" s="450"/>
      <c r="LVY104" s="450"/>
      <c r="LVZ104" s="450"/>
      <c r="LWA104" s="450"/>
      <c r="LWB104" s="450"/>
      <c r="LWC104" s="450"/>
      <c r="LWD104" s="450"/>
      <c r="LWE104" s="450"/>
      <c r="LWF104" s="450"/>
      <c r="LWG104" s="450"/>
      <c r="LWH104" s="450"/>
      <c r="LWI104" s="450"/>
      <c r="LWJ104" s="450"/>
      <c r="LWK104" s="450"/>
      <c r="LWL104" s="450"/>
      <c r="LWM104" s="450"/>
      <c r="LWN104" s="450"/>
      <c r="LWO104" s="450"/>
      <c r="LWP104" s="450"/>
      <c r="LWQ104" s="450"/>
      <c r="LWR104" s="450"/>
      <c r="LWS104" s="450"/>
      <c r="LWT104" s="450"/>
      <c r="LWU104" s="450"/>
      <c r="LWV104" s="450"/>
      <c r="LWW104" s="450"/>
      <c r="LWX104" s="450"/>
      <c r="LWY104" s="450"/>
      <c r="LWZ104" s="450"/>
      <c r="LXA104" s="450"/>
      <c r="LXB104" s="450"/>
      <c r="LXC104" s="450"/>
      <c r="LXD104" s="450"/>
      <c r="LXE104" s="450"/>
      <c r="LXF104" s="450"/>
      <c r="LXG104" s="450"/>
      <c r="LXH104" s="450"/>
      <c r="LXI104" s="450"/>
      <c r="LXJ104" s="450"/>
      <c r="LXK104" s="450"/>
      <c r="LXL104" s="450"/>
      <c r="LXM104" s="450"/>
      <c r="LXN104" s="450"/>
      <c r="LXO104" s="450"/>
      <c r="LXP104" s="450"/>
      <c r="LXQ104" s="450"/>
      <c r="LXR104" s="450"/>
      <c r="LXS104" s="450"/>
      <c r="LXT104" s="450"/>
      <c r="LXU104" s="450"/>
      <c r="LXV104" s="450"/>
      <c r="LXW104" s="450"/>
      <c r="LXX104" s="450"/>
      <c r="LXY104" s="450"/>
      <c r="LXZ104" s="450"/>
      <c r="LYA104" s="450"/>
      <c r="LYB104" s="450"/>
      <c r="LYC104" s="450"/>
      <c r="LYD104" s="450"/>
      <c r="LYE104" s="450"/>
      <c r="LYF104" s="450"/>
      <c r="LYG104" s="450"/>
      <c r="LYH104" s="450"/>
      <c r="LYI104" s="450"/>
      <c r="LYJ104" s="450"/>
      <c r="LYK104" s="450"/>
      <c r="LYL104" s="450"/>
      <c r="LYM104" s="450"/>
      <c r="LYN104" s="450"/>
      <c r="LYO104" s="450"/>
      <c r="LYP104" s="450"/>
      <c r="LYQ104" s="450"/>
      <c r="LYR104" s="450"/>
      <c r="LYS104" s="450"/>
      <c r="LYT104" s="450"/>
      <c r="LYU104" s="450"/>
      <c r="LYV104" s="450"/>
      <c r="LYW104" s="450"/>
      <c r="LYX104" s="450"/>
      <c r="LYY104" s="450"/>
      <c r="LYZ104" s="450"/>
      <c r="LZA104" s="450"/>
      <c r="LZB104" s="450"/>
      <c r="LZC104" s="450"/>
      <c r="LZD104" s="450"/>
      <c r="LZE104" s="450"/>
      <c r="LZF104" s="450"/>
      <c r="LZG104" s="450"/>
      <c r="LZH104" s="450"/>
      <c r="LZI104" s="450"/>
      <c r="LZJ104" s="450"/>
      <c r="LZK104" s="450"/>
      <c r="LZL104" s="450"/>
      <c r="LZM104" s="450"/>
      <c r="LZN104" s="450"/>
      <c r="LZO104" s="450"/>
      <c r="LZP104" s="450"/>
      <c r="LZQ104" s="450"/>
      <c r="LZR104" s="450"/>
      <c r="LZS104" s="450"/>
      <c r="LZT104" s="450"/>
      <c r="LZU104" s="450"/>
      <c r="LZV104" s="450"/>
      <c r="LZW104" s="450"/>
      <c r="LZX104" s="450"/>
      <c r="LZY104" s="450"/>
      <c r="LZZ104" s="450"/>
      <c r="MAA104" s="450"/>
      <c r="MAB104" s="450"/>
      <c r="MAC104" s="450"/>
      <c r="MAD104" s="450"/>
      <c r="MAE104" s="450"/>
      <c r="MAF104" s="450"/>
      <c r="MAG104" s="450"/>
      <c r="MAH104" s="450"/>
      <c r="MAI104" s="450"/>
      <c r="MAJ104" s="450"/>
      <c r="MAK104" s="450"/>
      <c r="MAL104" s="450"/>
      <c r="MAM104" s="450"/>
      <c r="MAN104" s="450"/>
      <c r="MAO104" s="450"/>
      <c r="MAP104" s="450"/>
      <c r="MAQ104" s="450"/>
      <c r="MAR104" s="450"/>
      <c r="MAS104" s="450"/>
      <c r="MAT104" s="450"/>
      <c r="MAU104" s="450"/>
      <c r="MAV104" s="450"/>
      <c r="MAW104" s="450"/>
      <c r="MAX104" s="450"/>
      <c r="MAY104" s="450"/>
      <c r="MAZ104" s="450"/>
      <c r="MBA104" s="450"/>
      <c r="MBB104" s="450"/>
      <c r="MBC104" s="450"/>
      <c r="MBD104" s="450"/>
      <c r="MBE104" s="450"/>
      <c r="MBF104" s="450"/>
      <c r="MBG104" s="450"/>
      <c r="MBH104" s="450"/>
      <c r="MBI104" s="450"/>
      <c r="MBJ104" s="450"/>
      <c r="MBK104" s="450"/>
      <c r="MBL104" s="450"/>
      <c r="MBM104" s="450"/>
      <c r="MBN104" s="450"/>
      <c r="MBO104" s="450"/>
      <c r="MBP104" s="450"/>
      <c r="MBQ104" s="450"/>
      <c r="MBR104" s="450"/>
      <c r="MBS104" s="450"/>
      <c r="MBT104" s="450"/>
      <c r="MBU104" s="450"/>
      <c r="MBV104" s="450"/>
      <c r="MBW104" s="450"/>
      <c r="MBX104" s="450"/>
      <c r="MBY104" s="450"/>
      <c r="MBZ104" s="450"/>
      <c r="MCA104" s="450"/>
      <c r="MCB104" s="450"/>
      <c r="MCC104" s="450"/>
      <c r="MCD104" s="450"/>
      <c r="MCE104" s="450"/>
      <c r="MCF104" s="450"/>
      <c r="MCG104" s="450"/>
      <c r="MCH104" s="450"/>
      <c r="MCI104" s="450"/>
      <c r="MCJ104" s="450"/>
      <c r="MCK104" s="450"/>
      <c r="MCL104" s="450"/>
      <c r="MCM104" s="450"/>
      <c r="MCN104" s="450"/>
      <c r="MCO104" s="450"/>
      <c r="MCP104" s="450"/>
      <c r="MCQ104" s="450"/>
      <c r="MCR104" s="450"/>
      <c r="MCS104" s="450"/>
      <c r="MCT104" s="450"/>
      <c r="MCU104" s="450"/>
      <c r="MCV104" s="450"/>
      <c r="MCW104" s="450"/>
      <c r="MCX104" s="450"/>
      <c r="MCY104" s="450"/>
      <c r="MCZ104" s="450"/>
      <c r="MDA104" s="450"/>
      <c r="MDB104" s="450"/>
      <c r="MDC104" s="450"/>
      <c r="MDD104" s="450"/>
      <c r="MDE104" s="450"/>
      <c r="MDF104" s="450"/>
      <c r="MDG104" s="450"/>
      <c r="MDH104" s="450"/>
      <c r="MDI104" s="450"/>
      <c r="MDJ104" s="450"/>
      <c r="MDK104" s="450"/>
      <c r="MDL104" s="450"/>
      <c r="MDM104" s="450"/>
      <c r="MDN104" s="450"/>
      <c r="MDO104" s="450"/>
      <c r="MDP104" s="450"/>
      <c r="MDQ104" s="450"/>
      <c r="MDR104" s="450"/>
      <c r="MDS104" s="450"/>
      <c r="MDT104" s="450"/>
      <c r="MDU104" s="450"/>
      <c r="MDV104" s="450"/>
      <c r="MDW104" s="450"/>
      <c r="MDX104" s="450"/>
      <c r="MDY104" s="450"/>
      <c r="MDZ104" s="450"/>
      <c r="MEA104" s="450"/>
      <c r="MEB104" s="450"/>
      <c r="MEC104" s="450"/>
      <c r="MED104" s="450"/>
      <c r="MEE104" s="450"/>
      <c r="MEF104" s="450"/>
      <c r="MEG104" s="450"/>
      <c r="MEH104" s="450"/>
      <c r="MEI104" s="450"/>
      <c r="MEJ104" s="450"/>
      <c r="MEK104" s="450"/>
      <c r="MEL104" s="450"/>
      <c r="MEM104" s="450"/>
      <c r="MEN104" s="450"/>
      <c r="MEO104" s="450"/>
      <c r="MEP104" s="450"/>
      <c r="MEQ104" s="450"/>
      <c r="MER104" s="450"/>
      <c r="MES104" s="450"/>
      <c r="MET104" s="450"/>
      <c r="MEU104" s="450"/>
      <c r="MEV104" s="450"/>
      <c r="MEW104" s="450"/>
      <c r="MEX104" s="450"/>
      <c r="MEY104" s="450"/>
      <c r="MEZ104" s="450"/>
      <c r="MFA104" s="450"/>
      <c r="MFB104" s="450"/>
      <c r="MFC104" s="450"/>
      <c r="MFD104" s="450"/>
      <c r="MFE104" s="450"/>
      <c r="MFF104" s="450"/>
      <c r="MFG104" s="450"/>
      <c r="MFH104" s="450"/>
      <c r="MFI104" s="450"/>
      <c r="MFJ104" s="450"/>
      <c r="MFK104" s="450"/>
      <c r="MFL104" s="450"/>
      <c r="MFM104" s="450"/>
      <c r="MFN104" s="450"/>
      <c r="MFO104" s="450"/>
      <c r="MFP104" s="450"/>
      <c r="MFQ104" s="450"/>
      <c r="MFR104" s="450"/>
      <c r="MFS104" s="450"/>
      <c r="MFT104" s="450"/>
      <c r="MFU104" s="450"/>
      <c r="MFV104" s="450"/>
      <c r="MFW104" s="450"/>
      <c r="MFX104" s="450"/>
      <c r="MFY104" s="450"/>
      <c r="MFZ104" s="450"/>
      <c r="MGA104" s="450"/>
      <c r="MGB104" s="450"/>
      <c r="MGC104" s="450"/>
      <c r="MGD104" s="450"/>
      <c r="MGE104" s="450"/>
      <c r="MGF104" s="450"/>
      <c r="MGG104" s="450"/>
      <c r="MGH104" s="450"/>
      <c r="MGI104" s="450"/>
      <c r="MGJ104" s="450"/>
      <c r="MGK104" s="450"/>
      <c r="MGL104" s="450"/>
      <c r="MGM104" s="450"/>
      <c r="MGN104" s="450"/>
      <c r="MGO104" s="450"/>
      <c r="MGP104" s="450"/>
      <c r="MGQ104" s="450"/>
      <c r="MGR104" s="450"/>
      <c r="MGS104" s="450"/>
      <c r="MGT104" s="450"/>
      <c r="MGU104" s="450"/>
      <c r="MGV104" s="450"/>
      <c r="MGW104" s="450"/>
      <c r="MGX104" s="450"/>
      <c r="MGY104" s="450"/>
      <c r="MGZ104" s="450"/>
      <c r="MHA104" s="450"/>
      <c r="MHB104" s="450"/>
      <c r="MHC104" s="450"/>
      <c r="MHD104" s="450"/>
      <c r="MHE104" s="450"/>
      <c r="MHF104" s="450"/>
      <c r="MHG104" s="450"/>
      <c r="MHH104" s="450"/>
      <c r="MHI104" s="450"/>
      <c r="MHJ104" s="450"/>
      <c r="MHK104" s="450"/>
      <c r="MHL104" s="450"/>
      <c r="MHM104" s="450"/>
      <c r="MHN104" s="450"/>
      <c r="MHO104" s="450"/>
      <c r="MHP104" s="450"/>
      <c r="MHQ104" s="450"/>
      <c r="MHR104" s="450"/>
      <c r="MHS104" s="450"/>
      <c r="MHT104" s="450"/>
      <c r="MHU104" s="450"/>
      <c r="MHV104" s="450"/>
      <c r="MHW104" s="450"/>
      <c r="MHX104" s="450"/>
      <c r="MHY104" s="450"/>
      <c r="MHZ104" s="450"/>
      <c r="MIA104" s="450"/>
      <c r="MIB104" s="450"/>
      <c r="MIC104" s="450"/>
      <c r="MID104" s="450"/>
      <c r="MIE104" s="450"/>
      <c r="MIF104" s="450"/>
      <c r="MIG104" s="450"/>
      <c r="MIH104" s="450"/>
      <c r="MII104" s="450"/>
      <c r="MIJ104" s="450"/>
      <c r="MIK104" s="450"/>
      <c r="MIL104" s="450"/>
      <c r="MIM104" s="450"/>
      <c r="MIN104" s="450"/>
      <c r="MIO104" s="450"/>
      <c r="MIP104" s="450"/>
      <c r="MIQ104" s="450"/>
      <c r="MIR104" s="450"/>
      <c r="MIS104" s="450"/>
      <c r="MIT104" s="450"/>
      <c r="MIU104" s="450"/>
      <c r="MIV104" s="450"/>
      <c r="MIW104" s="450"/>
      <c r="MIX104" s="450"/>
      <c r="MIY104" s="450"/>
      <c r="MIZ104" s="450"/>
      <c r="MJA104" s="450"/>
      <c r="MJB104" s="450"/>
      <c r="MJC104" s="450"/>
      <c r="MJD104" s="450"/>
      <c r="MJE104" s="450"/>
      <c r="MJF104" s="450"/>
      <c r="MJG104" s="450"/>
      <c r="MJH104" s="450"/>
      <c r="MJI104" s="450"/>
      <c r="MJJ104" s="450"/>
      <c r="MJK104" s="450"/>
      <c r="MJL104" s="450"/>
      <c r="MJM104" s="450"/>
      <c r="MJN104" s="450"/>
      <c r="MJO104" s="450"/>
      <c r="MJP104" s="450"/>
      <c r="MJQ104" s="450"/>
      <c r="MJR104" s="450"/>
      <c r="MJS104" s="450"/>
      <c r="MJT104" s="450"/>
      <c r="MJU104" s="450"/>
      <c r="MJV104" s="450"/>
      <c r="MJW104" s="450"/>
      <c r="MJX104" s="450"/>
      <c r="MJY104" s="450"/>
      <c r="MJZ104" s="450"/>
      <c r="MKA104" s="450"/>
      <c r="MKB104" s="450"/>
      <c r="MKC104" s="450"/>
      <c r="MKD104" s="450"/>
      <c r="MKE104" s="450"/>
      <c r="MKF104" s="450"/>
      <c r="MKG104" s="450"/>
      <c r="MKH104" s="450"/>
      <c r="MKI104" s="450"/>
      <c r="MKJ104" s="450"/>
      <c r="MKK104" s="450"/>
      <c r="MKL104" s="450"/>
      <c r="MKM104" s="450"/>
      <c r="MKN104" s="450"/>
      <c r="MKO104" s="450"/>
      <c r="MKP104" s="450"/>
      <c r="MKQ104" s="450"/>
      <c r="MKR104" s="450"/>
      <c r="MKS104" s="450"/>
      <c r="MKT104" s="450"/>
      <c r="MKU104" s="450"/>
      <c r="MKV104" s="450"/>
      <c r="MKW104" s="450"/>
      <c r="MKX104" s="450"/>
      <c r="MKY104" s="450"/>
      <c r="MKZ104" s="450"/>
      <c r="MLA104" s="450"/>
      <c r="MLB104" s="450"/>
      <c r="MLC104" s="450"/>
      <c r="MLD104" s="450"/>
      <c r="MLE104" s="450"/>
      <c r="MLF104" s="450"/>
      <c r="MLG104" s="450"/>
      <c r="MLH104" s="450"/>
      <c r="MLI104" s="450"/>
      <c r="MLJ104" s="450"/>
      <c r="MLK104" s="450"/>
      <c r="MLL104" s="450"/>
      <c r="MLM104" s="450"/>
      <c r="MLN104" s="450"/>
      <c r="MLO104" s="450"/>
      <c r="MLP104" s="450"/>
      <c r="MLQ104" s="450"/>
      <c r="MLR104" s="450"/>
      <c r="MLS104" s="450"/>
      <c r="MLT104" s="450"/>
      <c r="MLU104" s="450"/>
      <c r="MLV104" s="450"/>
      <c r="MLW104" s="450"/>
      <c r="MLX104" s="450"/>
      <c r="MLY104" s="450"/>
      <c r="MLZ104" s="450"/>
      <c r="MMA104" s="450"/>
      <c r="MMB104" s="450"/>
      <c r="MMC104" s="450"/>
      <c r="MMD104" s="450"/>
      <c r="MME104" s="450"/>
      <c r="MMF104" s="450"/>
      <c r="MMG104" s="450"/>
      <c r="MMH104" s="450"/>
      <c r="MMI104" s="450"/>
      <c r="MMJ104" s="450"/>
      <c r="MMK104" s="450"/>
      <c r="MML104" s="450"/>
      <c r="MMM104" s="450"/>
      <c r="MMN104" s="450"/>
      <c r="MMO104" s="450"/>
      <c r="MMP104" s="450"/>
      <c r="MMQ104" s="450"/>
      <c r="MMR104" s="450"/>
      <c r="MMS104" s="450"/>
      <c r="MMT104" s="450"/>
      <c r="MMU104" s="450"/>
      <c r="MMV104" s="450"/>
      <c r="MMW104" s="450"/>
      <c r="MMX104" s="450"/>
      <c r="MMY104" s="450"/>
      <c r="MMZ104" s="450"/>
      <c r="MNA104" s="450"/>
      <c r="MNB104" s="450"/>
      <c r="MNC104" s="450"/>
      <c r="MND104" s="450"/>
      <c r="MNE104" s="450"/>
      <c r="MNF104" s="450"/>
      <c r="MNG104" s="450"/>
      <c r="MNH104" s="450"/>
      <c r="MNI104" s="450"/>
      <c r="MNJ104" s="450"/>
      <c r="MNK104" s="450"/>
      <c r="MNL104" s="450"/>
      <c r="MNM104" s="450"/>
      <c r="MNN104" s="450"/>
      <c r="MNO104" s="450"/>
      <c r="MNP104" s="450"/>
      <c r="MNQ104" s="450"/>
      <c r="MNR104" s="450"/>
      <c r="MNS104" s="450"/>
      <c r="MNT104" s="450"/>
      <c r="MNU104" s="450"/>
      <c r="MNV104" s="450"/>
      <c r="MNW104" s="450"/>
      <c r="MNX104" s="450"/>
      <c r="MNY104" s="450"/>
      <c r="MNZ104" s="450"/>
      <c r="MOA104" s="450"/>
      <c r="MOB104" s="450"/>
      <c r="MOC104" s="450"/>
      <c r="MOD104" s="450"/>
      <c r="MOE104" s="450"/>
      <c r="MOF104" s="450"/>
      <c r="MOG104" s="450"/>
      <c r="MOH104" s="450"/>
      <c r="MOI104" s="450"/>
      <c r="MOJ104" s="450"/>
      <c r="MOK104" s="450"/>
      <c r="MOL104" s="450"/>
      <c r="MOM104" s="450"/>
      <c r="MON104" s="450"/>
      <c r="MOO104" s="450"/>
      <c r="MOP104" s="450"/>
      <c r="MOQ104" s="450"/>
      <c r="MOR104" s="450"/>
      <c r="MOS104" s="450"/>
      <c r="MOT104" s="450"/>
      <c r="MOU104" s="450"/>
      <c r="MOV104" s="450"/>
      <c r="MOW104" s="450"/>
      <c r="MOX104" s="450"/>
      <c r="MOY104" s="450"/>
      <c r="MOZ104" s="450"/>
      <c r="MPA104" s="450"/>
      <c r="MPB104" s="450"/>
      <c r="MPC104" s="450"/>
      <c r="MPD104" s="450"/>
      <c r="MPE104" s="450"/>
      <c r="MPF104" s="450"/>
      <c r="MPG104" s="450"/>
      <c r="MPH104" s="450"/>
      <c r="MPI104" s="450"/>
      <c r="MPJ104" s="450"/>
      <c r="MPK104" s="450"/>
      <c r="MPL104" s="450"/>
      <c r="MPM104" s="450"/>
      <c r="MPN104" s="450"/>
      <c r="MPO104" s="450"/>
      <c r="MPP104" s="450"/>
      <c r="MPQ104" s="450"/>
      <c r="MPR104" s="450"/>
      <c r="MPS104" s="450"/>
      <c r="MPT104" s="450"/>
      <c r="MPU104" s="450"/>
      <c r="MPV104" s="450"/>
      <c r="MPW104" s="450"/>
      <c r="MPX104" s="450"/>
      <c r="MPY104" s="450"/>
      <c r="MPZ104" s="450"/>
      <c r="MQA104" s="450"/>
      <c r="MQB104" s="450"/>
      <c r="MQC104" s="450"/>
      <c r="MQD104" s="450"/>
      <c r="MQE104" s="450"/>
      <c r="MQF104" s="450"/>
      <c r="MQG104" s="450"/>
      <c r="MQH104" s="450"/>
      <c r="MQI104" s="450"/>
      <c r="MQJ104" s="450"/>
      <c r="MQK104" s="450"/>
      <c r="MQL104" s="450"/>
      <c r="MQM104" s="450"/>
      <c r="MQN104" s="450"/>
      <c r="MQO104" s="450"/>
      <c r="MQP104" s="450"/>
      <c r="MQQ104" s="450"/>
      <c r="MQR104" s="450"/>
      <c r="MQS104" s="450"/>
      <c r="MQT104" s="450"/>
      <c r="MQU104" s="450"/>
      <c r="MQV104" s="450"/>
      <c r="MQW104" s="450"/>
      <c r="MQX104" s="450"/>
      <c r="MQY104" s="450"/>
      <c r="MQZ104" s="450"/>
      <c r="MRA104" s="450"/>
      <c r="MRB104" s="450"/>
      <c r="MRC104" s="450"/>
      <c r="MRD104" s="450"/>
      <c r="MRE104" s="450"/>
      <c r="MRF104" s="450"/>
      <c r="MRG104" s="450"/>
      <c r="MRH104" s="450"/>
      <c r="MRI104" s="450"/>
      <c r="MRJ104" s="450"/>
      <c r="MRK104" s="450"/>
      <c r="MRL104" s="450"/>
      <c r="MRM104" s="450"/>
      <c r="MRN104" s="450"/>
      <c r="MRO104" s="450"/>
      <c r="MRP104" s="450"/>
      <c r="MRQ104" s="450"/>
      <c r="MRR104" s="450"/>
      <c r="MRS104" s="450"/>
      <c r="MRT104" s="450"/>
      <c r="MRU104" s="450"/>
      <c r="MRV104" s="450"/>
      <c r="MRW104" s="450"/>
      <c r="MRX104" s="450"/>
      <c r="MRY104" s="450"/>
      <c r="MRZ104" s="450"/>
      <c r="MSA104" s="450"/>
      <c r="MSB104" s="450"/>
      <c r="MSC104" s="450"/>
      <c r="MSD104" s="450"/>
      <c r="MSE104" s="450"/>
      <c r="MSF104" s="450"/>
      <c r="MSG104" s="450"/>
      <c r="MSH104" s="450"/>
      <c r="MSI104" s="450"/>
      <c r="MSJ104" s="450"/>
      <c r="MSK104" s="450"/>
      <c r="MSL104" s="450"/>
      <c r="MSM104" s="450"/>
      <c r="MSN104" s="450"/>
      <c r="MSO104" s="450"/>
      <c r="MSP104" s="450"/>
      <c r="MSQ104" s="450"/>
      <c r="MSR104" s="450"/>
      <c r="MSS104" s="450"/>
      <c r="MST104" s="450"/>
      <c r="MSU104" s="450"/>
      <c r="MSV104" s="450"/>
      <c r="MSW104" s="450"/>
      <c r="MSX104" s="450"/>
      <c r="MSY104" s="450"/>
      <c r="MSZ104" s="450"/>
      <c r="MTA104" s="450"/>
      <c r="MTB104" s="450"/>
      <c r="MTC104" s="450"/>
      <c r="MTD104" s="450"/>
      <c r="MTE104" s="450"/>
      <c r="MTF104" s="450"/>
      <c r="MTG104" s="450"/>
      <c r="MTH104" s="450"/>
      <c r="MTI104" s="450"/>
      <c r="MTJ104" s="450"/>
      <c r="MTK104" s="450"/>
      <c r="MTL104" s="450"/>
      <c r="MTM104" s="450"/>
      <c r="MTN104" s="450"/>
      <c r="MTO104" s="450"/>
      <c r="MTP104" s="450"/>
      <c r="MTQ104" s="450"/>
      <c r="MTR104" s="450"/>
      <c r="MTS104" s="450"/>
      <c r="MTT104" s="450"/>
      <c r="MTU104" s="450"/>
      <c r="MTV104" s="450"/>
      <c r="MTW104" s="450"/>
      <c r="MTX104" s="450"/>
      <c r="MTY104" s="450"/>
      <c r="MTZ104" s="450"/>
      <c r="MUA104" s="450"/>
      <c r="MUB104" s="450"/>
      <c r="MUC104" s="450"/>
      <c r="MUD104" s="450"/>
      <c r="MUE104" s="450"/>
      <c r="MUF104" s="450"/>
      <c r="MUG104" s="450"/>
      <c r="MUH104" s="450"/>
      <c r="MUI104" s="450"/>
      <c r="MUJ104" s="450"/>
      <c r="MUK104" s="450"/>
      <c r="MUL104" s="450"/>
      <c r="MUM104" s="450"/>
      <c r="MUN104" s="450"/>
      <c r="MUO104" s="450"/>
      <c r="MUP104" s="450"/>
      <c r="MUQ104" s="450"/>
      <c r="MUR104" s="450"/>
      <c r="MUS104" s="450"/>
      <c r="MUT104" s="450"/>
      <c r="MUU104" s="450"/>
      <c r="MUV104" s="450"/>
      <c r="MUW104" s="450"/>
      <c r="MUX104" s="450"/>
      <c r="MUY104" s="450"/>
      <c r="MUZ104" s="450"/>
      <c r="MVA104" s="450"/>
      <c r="MVB104" s="450"/>
      <c r="MVC104" s="450"/>
      <c r="MVD104" s="450"/>
      <c r="MVE104" s="450"/>
      <c r="MVF104" s="450"/>
      <c r="MVG104" s="450"/>
      <c r="MVH104" s="450"/>
      <c r="MVI104" s="450"/>
      <c r="MVJ104" s="450"/>
      <c r="MVK104" s="450"/>
      <c r="MVL104" s="450"/>
      <c r="MVM104" s="450"/>
      <c r="MVN104" s="450"/>
      <c r="MVO104" s="450"/>
      <c r="MVP104" s="450"/>
      <c r="MVQ104" s="450"/>
      <c r="MVR104" s="450"/>
      <c r="MVS104" s="450"/>
      <c r="MVT104" s="450"/>
      <c r="MVU104" s="450"/>
      <c r="MVV104" s="450"/>
      <c r="MVW104" s="450"/>
      <c r="MVX104" s="450"/>
      <c r="MVY104" s="450"/>
      <c r="MVZ104" s="450"/>
      <c r="MWA104" s="450"/>
      <c r="MWB104" s="450"/>
      <c r="MWC104" s="450"/>
      <c r="MWD104" s="450"/>
      <c r="MWE104" s="450"/>
      <c r="MWF104" s="450"/>
      <c r="MWG104" s="450"/>
      <c r="MWH104" s="450"/>
      <c r="MWI104" s="450"/>
      <c r="MWJ104" s="450"/>
      <c r="MWK104" s="450"/>
      <c r="MWL104" s="450"/>
      <c r="MWM104" s="450"/>
      <c r="MWN104" s="450"/>
      <c r="MWO104" s="450"/>
      <c r="MWP104" s="450"/>
      <c r="MWQ104" s="450"/>
      <c r="MWR104" s="450"/>
      <c r="MWS104" s="450"/>
      <c r="MWT104" s="450"/>
      <c r="MWU104" s="450"/>
      <c r="MWV104" s="450"/>
      <c r="MWW104" s="450"/>
      <c r="MWX104" s="450"/>
      <c r="MWY104" s="450"/>
      <c r="MWZ104" s="450"/>
      <c r="MXA104" s="450"/>
      <c r="MXB104" s="450"/>
      <c r="MXC104" s="450"/>
      <c r="MXD104" s="450"/>
      <c r="MXE104" s="450"/>
      <c r="MXF104" s="450"/>
      <c r="MXG104" s="450"/>
      <c r="MXH104" s="450"/>
      <c r="MXI104" s="450"/>
      <c r="MXJ104" s="450"/>
      <c r="MXK104" s="450"/>
      <c r="MXL104" s="450"/>
      <c r="MXM104" s="450"/>
      <c r="MXN104" s="450"/>
      <c r="MXO104" s="450"/>
      <c r="MXP104" s="450"/>
      <c r="MXQ104" s="450"/>
      <c r="MXR104" s="450"/>
      <c r="MXS104" s="450"/>
      <c r="MXT104" s="450"/>
      <c r="MXU104" s="450"/>
      <c r="MXV104" s="450"/>
      <c r="MXW104" s="450"/>
      <c r="MXX104" s="450"/>
      <c r="MXY104" s="450"/>
      <c r="MXZ104" s="450"/>
      <c r="MYA104" s="450"/>
      <c r="MYB104" s="450"/>
      <c r="MYC104" s="450"/>
      <c r="MYD104" s="450"/>
      <c r="MYE104" s="450"/>
      <c r="MYF104" s="450"/>
      <c r="MYG104" s="450"/>
      <c r="MYH104" s="450"/>
      <c r="MYI104" s="450"/>
      <c r="MYJ104" s="450"/>
      <c r="MYK104" s="450"/>
      <c r="MYL104" s="450"/>
      <c r="MYM104" s="450"/>
      <c r="MYN104" s="450"/>
      <c r="MYO104" s="450"/>
      <c r="MYP104" s="450"/>
      <c r="MYQ104" s="450"/>
      <c r="MYR104" s="450"/>
      <c r="MYS104" s="450"/>
      <c r="MYT104" s="450"/>
      <c r="MYU104" s="450"/>
      <c r="MYV104" s="450"/>
      <c r="MYW104" s="450"/>
      <c r="MYX104" s="450"/>
      <c r="MYY104" s="450"/>
      <c r="MYZ104" s="450"/>
      <c r="MZA104" s="450"/>
      <c r="MZB104" s="450"/>
      <c r="MZC104" s="450"/>
      <c r="MZD104" s="450"/>
      <c r="MZE104" s="450"/>
      <c r="MZF104" s="450"/>
      <c r="MZG104" s="450"/>
      <c r="MZH104" s="450"/>
      <c r="MZI104" s="450"/>
      <c r="MZJ104" s="450"/>
      <c r="MZK104" s="450"/>
      <c r="MZL104" s="450"/>
      <c r="MZM104" s="450"/>
      <c r="MZN104" s="450"/>
      <c r="MZO104" s="450"/>
      <c r="MZP104" s="450"/>
      <c r="MZQ104" s="450"/>
      <c r="MZR104" s="450"/>
      <c r="MZS104" s="450"/>
      <c r="MZT104" s="450"/>
      <c r="MZU104" s="450"/>
      <c r="MZV104" s="450"/>
      <c r="MZW104" s="450"/>
      <c r="MZX104" s="450"/>
      <c r="MZY104" s="450"/>
      <c r="MZZ104" s="450"/>
      <c r="NAA104" s="450"/>
      <c r="NAB104" s="450"/>
      <c r="NAC104" s="450"/>
      <c r="NAD104" s="450"/>
      <c r="NAE104" s="450"/>
      <c r="NAF104" s="450"/>
      <c r="NAG104" s="450"/>
      <c r="NAH104" s="450"/>
      <c r="NAI104" s="450"/>
      <c r="NAJ104" s="450"/>
      <c r="NAK104" s="450"/>
      <c r="NAL104" s="450"/>
      <c r="NAM104" s="450"/>
      <c r="NAN104" s="450"/>
      <c r="NAO104" s="450"/>
      <c r="NAP104" s="450"/>
      <c r="NAQ104" s="450"/>
      <c r="NAR104" s="450"/>
      <c r="NAS104" s="450"/>
      <c r="NAT104" s="450"/>
      <c r="NAU104" s="450"/>
      <c r="NAV104" s="450"/>
      <c r="NAW104" s="450"/>
      <c r="NAX104" s="450"/>
      <c r="NAY104" s="450"/>
      <c r="NAZ104" s="450"/>
      <c r="NBA104" s="450"/>
      <c r="NBB104" s="450"/>
      <c r="NBC104" s="450"/>
      <c r="NBD104" s="450"/>
      <c r="NBE104" s="450"/>
      <c r="NBF104" s="450"/>
      <c r="NBG104" s="450"/>
      <c r="NBH104" s="450"/>
      <c r="NBI104" s="450"/>
      <c r="NBJ104" s="450"/>
      <c r="NBK104" s="450"/>
      <c r="NBL104" s="450"/>
      <c r="NBM104" s="450"/>
      <c r="NBN104" s="450"/>
      <c r="NBO104" s="450"/>
      <c r="NBP104" s="450"/>
      <c r="NBQ104" s="450"/>
      <c r="NBR104" s="450"/>
      <c r="NBS104" s="450"/>
      <c r="NBT104" s="450"/>
      <c r="NBU104" s="450"/>
      <c r="NBV104" s="450"/>
      <c r="NBW104" s="450"/>
      <c r="NBX104" s="450"/>
      <c r="NBY104" s="450"/>
      <c r="NBZ104" s="450"/>
      <c r="NCA104" s="450"/>
      <c r="NCB104" s="450"/>
      <c r="NCC104" s="450"/>
      <c r="NCD104" s="450"/>
      <c r="NCE104" s="450"/>
      <c r="NCF104" s="450"/>
      <c r="NCG104" s="450"/>
      <c r="NCH104" s="450"/>
      <c r="NCI104" s="450"/>
      <c r="NCJ104" s="450"/>
      <c r="NCK104" s="450"/>
      <c r="NCL104" s="450"/>
      <c r="NCM104" s="450"/>
      <c r="NCN104" s="450"/>
      <c r="NCO104" s="450"/>
      <c r="NCP104" s="450"/>
      <c r="NCQ104" s="450"/>
      <c r="NCR104" s="450"/>
      <c r="NCS104" s="450"/>
      <c r="NCT104" s="450"/>
      <c r="NCU104" s="450"/>
      <c r="NCV104" s="450"/>
      <c r="NCW104" s="450"/>
      <c r="NCX104" s="450"/>
      <c r="NCY104" s="450"/>
      <c r="NCZ104" s="450"/>
      <c r="NDA104" s="450"/>
      <c r="NDB104" s="450"/>
      <c r="NDC104" s="450"/>
      <c r="NDD104" s="450"/>
      <c r="NDE104" s="450"/>
      <c r="NDF104" s="450"/>
      <c r="NDG104" s="450"/>
      <c r="NDH104" s="450"/>
      <c r="NDI104" s="450"/>
      <c r="NDJ104" s="450"/>
      <c r="NDK104" s="450"/>
      <c r="NDL104" s="450"/>
      <c r="NDM104" s="450"/>
      <c r="NDN104" s="450"/>
      <c r="NDO104" s="450"/>
      <c r="NDP104" s="450"/>
      <c r="NDQ104" s="450"/>
      <c r="NDR104" s="450"/>
      <c r="NDS104" s="450"/>
      <c r="NDT104" s="450"/>
      <c r="NDU104" s="450"/>
      <c r="NDV104" s="450"/>
      <c r="NDW104" s="450"/>
      <c r="NDX104" s="450"/>
      <c r="NDY104" s="450"/>
      <c r="NDZ104" s="450"/>
      <c r="NEA104" s="450"/>
      <c r="NEB104" s="450"/>
      <c r="NEC104" s="450"/>
      <c r="NED104" s="450"/>
      <c r="NEE104" s="450"/>
      <c r="NEF104" s="450"/>
      <c r="NEG104" s="450"/>
      <c r="NEH104" s="450"/>
      <c r="NEI104" s="450"/>
      <c r="NEJ104" s="450"/>
      <c r="NEK104" s="450"/>
      <c r="NEL104" s="450"/>
      <c r="NEM104" s="450"/>
      <c r="NEN104" s="450"/>
      <c r="NEO104" s="450"/>
      <c r="NEP104" s="450"/>
      <c r="NEQ104" s="450"/>
      <c r="NER104" s="450"/>
      <c r="NES104" s="450"/>
      <c r="NET104" s="450"/>
      <c r="NEU104" s="450"/>
      <c r="NEV104" s="450"/>
      <c r="NEW104" s="450"/>
      <c r="NEX104" s="450"/>
      <c r="NEY104" s="450"/>
      <c r="NEZ104" s="450"/>
      <c r="NFA104" s="450"/>
      <c r="NFB104" s="450"/>
      <c r="NFC104" s="450"/>
      <c r="NFD104" s="450"/>
      <c r="NFE104" s="450"/>
      <c r="NFF104" s="450"/>
      <c r="NFG104" s="450"/>
      <c r="NFH104" s="450"/>
      <c r="NFI104" s="450"/>
      <c r="NFJ104" s="450"/>
      <c r="NFK104" s="450"/>
      <c r="NFL104" s="450"/>
      <c r="NFM104" s="450"/>
      <c r="NFN104" s="450"/>
      <c r="NFO104" s="450"/>
      <c r="NFP104" s="450"/>
      <c r="NFQ104" s="450"/>
      <c r="NFR104" s="450"/>
      <c r="NFS104" s="450"/>
      <c r="NFT104" s="450"/>
      <c r="NFU104" s="450"/>
      <c r="NFV104" s="450"/>
      <c r="NFW104" s="450"/>
      <c r="NFX104" s="450"/>
      <c r="NFY104" s="450"/>
      <c r="NFZ104" s="450"/>
      <c r="NGA104" s="450"/>
      <c r="NGB104" s="450"/>
      <c r="NGC104" s="450"/>
      <c r="NGD104" s="450"/>
      <c r="NGE104" s="450"/>
      <c r="NGF104" s="450"/>
      <c r="NGG104" s="450"/>
      <c r="NGH104" s="450"/>
      <c r="NGI104" s="450"/>
      <c r="NGJ104" s="450"/>
      <c r="NGK104" s="450"/>
      <c r="NGL104" s="450"/>
      <c r="NGM104" s="450"/>
      <c r="NGN104" s="450"/>
      <c r="NGO104" s="450"/>
      <c r="NGP104" s="450"/>
      <c r="NGQ104" s="450"/>
      <c r="NGR104" s="450"/>
      <c r="NGS104" s="450"/>
      <c r="NGT104" s="450"/>
      <c r="NGU104" s="450"/>
      <c r="NGV104" s="450"/>
      <c r="NGW104" s="450"/>
      <c r="NGX104" s="450"/>
      <c r="NGY104" s="450"/>
      <c r="NGZ104" s="450"/>
      <c r="NHA104" s="450"/>
      <c r="NHB104" s="450"/>
      <c r="NHC104" s="450"/>
      <c r="NHD104" s="450"/>
      <c r="NHE104" s="450"/>
      <c r="NHF104" s="450"/>
      <c r="NHG104" s="450"/>
      <c r="NHH104" s="450"/>
      <c r="NHI104" s="450"/>
      <c r="NHJ104" s="450"/>
      <c r="NHK104" s="450"/>
      <c r="NHL104" s="450"/>
      <c r="NHM104" s="450"/>
      <c r="NHN104" s="450"/>
      <c r="NHO104" s="450"/>
      <c r="NHP104" s="450"/>
      <c r="NHQ104" s="450"/>
      <c r="NHR104" s="450"/>
      <c r="NHS104" s="450"/>
      <c r="NHT104" s="450"/>
      <c r="NHU104" s="450"/>
      <c r="NHV104" s="450"/>
      <c r="NHW104" s="450"/>
      <c r="NHX104" s="450"/>
      <c r="NHY104" s="450"/>
      <c r="NHZ104" s="450"/>
      <c r="NIA104" s="450"/>
      <c r="NIB104" s="450"/>
      <c r="NIC104" s="450"/>
      <c r="NID104" s="450"/>
      <c r="NIE104" s="450"/>
      <c r="NIF104" s="450"/>
      <c r="NIG104" s="450"/>
      <c r="NIH104" s="450"/>
      <c r="NII104" s="450"/>
      <c r="NIJ104" s="450"/>
      <c r="NIK104" s="450"/>
      <c r="NIL104" s="450"/>
      <c r="NIM104" s="450"/>
      <c r="NIN104" s="450"/>
      <c r="NIO104" s="450"/>
      <c r="NIP104" s="450"/>
      <c r="NIQ104" s="450"/>
      <c r="NIR104" s="450"/>
      <c r="NIS104" s="450"/>
      <c r="NIT104" s="450"/>
      <c r="NIU104" s="450"/>
      <c r="NIV104" s="450"/>
      <c r="NIW104" s="450"/>
      <c r="NIX104" s="450"/>
      <c r="NIY104" s="450"/>
      <c r="NIZ104" s="450"/>
      <c r="NJA104" s="450"/>
      <c r="NJB104" s="450"/>
      <c r="NJC104" s="450"/>
      <c r="NJD104" s="450"/>
      <c r="NJE104" s="450"/>
      <c r="NJF104" s="450"/>
      <c r="NJG104" s="450"/>
      <c r="NJH104" s="450"/>
      <c r="NJI104" s="450"/>
      <c r="NJJ104" s="450"/>
      <c r="NJK104" s="450"/>
      <c r="NJL104" s="450"/>
      <c r="NJM104" s="450"/>
      <c r="NJN104" s="450"/>
      <c r="NJO104" s="450"/>
      <c r="NJP104" s="450"/>
      <c r="NJQ104" s="450"/>
      <c r="NJR104" s="450"/>
      <c r="NJS104" s="450"/>
      <c r="NJT104" s="450"/>
      <c r="NJU104" s="450"/>
      <c r="NJV104" s="450"/>
      <c r="NJW104" s="450"/>
      <c r="NJX104" s="450"/>
      <c r="NJY104" s="450"/>
      <c r="NJZ104" s="450"/>
      <c r="NKA104" s="450"/>
      <c r="NKB104" s="450"/>
      <c r="NKC104" s="450"/>
      <c r="NKD104" s="450"/>
      <c r="NKE104" s="450"/>
      <c r="NKF104" s="450"/>
      <c r="NKG104" s="450"/>
      <c r="NKH104" s="450"/>
      <c r="NKI104" s="450"/>
      <c r="NKJ104" s="450"/>
      <c r="NKK104" s="450"/>
      <c r="NKL104" s="450"/>
      <c r="NKM104" s="450"/>
      <c r="NKN104" s="450"/>
      <c r="NKO104" s="450"/>
      <c r="NKP104" s="450"/>
      <c r="NKQ104" s="450"/>
      <c r="NKR104" s="450"/>
      <c r="NKS104" s="450"/>
      <c r="NKT104" s="450"/>
      <c r="NKU104" s="450"/>
      <c r="NKV104" s="450"/>
      <c r="NKW104" s="450"/>
      <c r="NKX104" s="450"/>
      <c r="NKY104" s="450"/>
      <c r="NKZ104" s="450"/>
      <c r="NLA104" s="450"/>
      <c r="NLB104" s="450"/>
      <c r="NLC104" s="450"/>
      <c r="NLD104" s="450"/>
      <c r="NLE104" s="450"/>
      <c r="NLF104" s="450"/>
      <c r="NLG104" s="450"/>
      <c r="NLH104" s="450"/>
      <c r="NLI104" s="450"/>
      <c r="NLJ104" s="450"/>
      <c r="NLK104" s="450"/>
      <c r="NLL104" s="450"/>
      <c r="NLM104" s="450"/>
      <c r="NLN104" s="450"/>
      <c r="NLO104" s="450"/>
      <c r="NLP104" s="450"/>
      <c r="NLQ104" s="450"/>
      <c r="NLR104" s="450"/>
      <c r="NLS104" s="450"/>
      <c r="NLT104" s="450"/>
      <c r="NLU104" s="450"/>
      <c r="NLV104" s="450"/>
      <c r="NLW104" s="450"/>
      <c r="NLX104" s="450"/>
      <c r="NLY104" s="450"/>
      <c r="NLZ104" s="450"/>
      <c r="NMA104" s="450"/>
      <c r="NMB104" s="450"/>
      <c r="NMC104" s="450"/>
      <c r="NMD104" s="450"/>
      <c r="NME104" s="450"/>
      <c r="NMF104" s="450"/>
      <c r="NMG104" s="450"/>
      <c r="NMH104" s="450"/>
      <c r="NMI104" s="450"/>
      <c r="NMJ104" s="450"/>
      <c r="NMK104" s="450"/>
      <c r="NML104" s="450"/>
      <c r="NMM104" s="450"/>
      <c r="NMN104" s="450"/>
      <c r="NMO104" s="450"/>
      <c r="NMP104" s="450"/>
      <c r="NMQ104" s="450"/>
      <c r="NMR104" s="450"/>
      <c r="NMS104" s="450"/>
      <c r="NMT104" s="450"/>
      <c r="NMU104" s="450"/>
      <c r="NMV104" s="450"/>
      <c r="NMW104" s="450"/>
      <c r="NMX104" s="450"/>
      <c r="NMY104" s="450"/>
      <c r="NMZ104" s="450"/>
      <c r="NNA104" s="450"/>
      <c r="NNB104" s="450"/>
      <c r="NNC104" s="450"/>
      <c r="NND104" s="450"/>
      <c r="NNE104" s="450"/>
      <c r="NNF104" s="450"/>
      <c r="NNG104" s="450"/>
      <c r="NNH104" s="450"/>
      <c r="NNI104" s="450"/>
      <c r="NNJ104" s="450"/>
      <c r="NNK104" s="450"/>
      <c r="NNL104" s="450"/>
      <c r="NNM104" s="450"/>
      <c r="NNN104" s="450"/>
      <c r="NNO104" s="450"/>
      <c r="NNP104" s="450"/>
      <c r="NNQ104" s="450"/>
      <c r="NNR104" s="450"/>
      <c r="NNS104" s="450"/>
      <c r="NNT104" s="450"/>
      <c r="NNU104" s="450"/>
      <c r="NNV104" s="450"/>
      <c r="NNW104" s="450"/>
      <c r="NNX104" s="450"/>
      <c r="NNY104" s="450"/>
      <c r="NNZ104" s="450"/>
      <c r="NOA104" s="450"/>
      <c r="NOB104" s="450"/>
      <c r="NOC104" s="450"/>
      <c r="NOD104" s="450"/>
      <c r="NOE104" s="450"/>
      <c r="NOF104" s="450"/>
      <c r="NOG104" s="450"/>
      <c r="NOH104" s="450"/>
      <c r="NOI104" s="450"/>
      <c r="NOJ104" s="450"/>
      <c r="NOK104" s="450"/>
      <c r="NOL104" s="450"/>
      <c r="NOM104" s="450"/>
      <c r="NON104" s="450"/>
      <c r="NOO104" s="450"/>
      <c r="NOP104" s="450"/>
      <c r="NOQ104" s="450"/>
      <c r="NOR104" s="450"/>
      <c r="NOS104" s="450"/>
      <c r="NOT104" s="450"/>
      <c r="NOU104" s="450"/>
      <c r="NOV104" s="450"/>
      <c r="NOW104" s="450"/>
      <c r="NOX104" s="450"/>
      <c r="NOY104" s="450"/>
      <c r="NOZ104" s="450"/>
      <c r="NPA104" s="450"/>
      <c r="NPB104" s="450"/>
      <c r="NPC104" s="450"/>
      <c r="NPD104" s="450"/>
      <c r="NPE104" s="450"/>
      <c r="NPF104" s="450"/>
      <c r="NPG104" s="450"/>
      <c r="NPH104" s="450"/>
      <c r="NPI104" s="450"/>
      <c r="NPJ104" s="450"/>
      <c r="NPK104" s="450"/>
      <c r="NPL104" s="450"/>
      <c r="NPM104" s="450"/>
      <c r="NPN104" s="450"/>
      <c r="NPO104" s="450"/>
      <c r="NPP104" s="450"/>
      <c r="NPQ104" s="450"/>
      <c r="NPR104" s="450"/>
      <c r="NPS104" s="450"/>
      <c r="NPT104" s="450"/>
      <c r="NPU104" s="450"/>
      <c r="NPV104" s="450"/>
      <c r="NPW104" s="450"/>
      <c r="NPX104" s="450"/>
      <c r="NPY104" s="450"/>
      <c r="NPZ104" s="450"/>
      <c r="NQA104" s="450"/>
      <c r="NQB104" s="450"/>
      <c r="NQC104" s="450"/>
      <c r="NQD104" s="450"/>
      <c r="NQE104" s="450"/>
      <c r="NQF104" s="450"/>
      <c r="NQG104" s="450"/>
      <c r="NQH104" s="450"/>
      <c r="NQI104" s="450"/>
      <c r="NQJ104" s="450"/>
      <c r="NQK104" s="450"/>
      <c r="NQL104" s="450"/>
      <c r="NQM104" s="450"/>
      <c r="NQN104" s="450"/>
      <c r="NQO104" s="450"/>
      <c r="NQP104" s="450"/>
      <c r="NQQ104" s="450"/>
      <c r="NQR104" s="450"/>
      <c r="NQS104" s="450"/>
      <c r="NQT104" s="450"/>
      <c r="NQU104" s="450"/>
      <c r="NQV104" s="450"/>
      <c r="NQW104" s="450"/>
      <c r="NQX104" s="450"/>
      <c r="NQY104" s="450"/>
      <c r="NQZ104" s="450"/>
      <c r="NRA104" s="450"/>
      <c r="NRB104" s="450"/>
      <c r="NRC104" s="450"/>
      <c r="NRD104" s="450"/>
      <c r="NRE104" s="450"/>
      <c r="NRF104" s="450"/>
      <c r="NRG104" s="450"/>
      <c r="NRH104" s="450"/>
      <c r="NRI104" s="450"/>
      <c r="NRJ104" s="450"/>
      <c r="NRK104" s="450"/>
      <c r="NRL104" s="450"/>
      <c r="NRM104" s="450"/>
      <c r="NRN104" s="450"/>
      <c r="NRO104" s="450"/>
      <c r="NRP104" s="450"/>
      <c r="NRQ104" s="450"/>
      <c r="NRR104" s="450"/>
      <c r="NRS104" s="450"/>
      <c r="NRT104" s="450"/>
      <c r="NRU104" s="450"/>
      <c r="NRV104" s="450"/>
      <c r="NRW104" s="450"/>
      <c r="NRX104" s="450"/>
      <c r="NRY104" s="450"/>
      <c r="NRZ104" s="450"/>
      <c r="NSA104" s="450"/>
      <c r="NSB104" s="450"/>
      <c r="NSC104" s="450"/>
      <c r="NSD104" s="450"/>
      <c r="NSE104" s="450"/>
      <c r="NSF104" s="450"/>
      <c r="NSG104" s="450"/>
      <c r="NSH104" s="450"/>
      <c r="NSI104" s="450"/>
      <c r="NSJ104" s="450"/>
      <c r="NSK104" s="450"/>
      <c r="NSL104" s="450"/>
      <c r="NSM104" s="450"/>
      <c r="NSN104" s="450"/>
      <c r="NSO104" s="450"/>
      <c r="NSP104" s="450"/>
      <c r="NSQ104" s="450"/>
      <c r="NSR104" s="450"/>
      <c r="NSS104" s="450"/>
      <c r="NST104" s="450"/>
      <c r="NSU104" s="450"/>
      <c r="NSV104" s="450"/>
      <c r="NSW104" s="450"/>
      <c r="NSX104" s="450"/>
      <c r="NSY104" s="450"/>
      <c r="NSZ104" s="450"/>
      <c r="NTA104" s="450"/>
      <c r="NTB104" s="450"/>
      <c r="NTC104" s="450"/>
      <c r="NTD104" s="450"/>
      <c r="NTE104" s="450"/>
      <c r="NTF104" s="450"/>
      <c r="NTG104" s="450"/>
      <c r="NTH104" s="450"/>
      <c r="NTI104" s="450"/>
      <c r="NTJ104" s="450"/>
      <c r="NTK104" s="450"/>
      <c r="NTL104" s="450"/>
      <c r="NTM104" s="450"/>
      <c r="NTN104" s="450"/>
      <c r="NTO104" s="450"/>
      <c r="NTP104" s="450"/>
      <c r="NTQ104" s="450"/>
      <c r="NTR104" s="450"/>
      <c r="NTS104" s="450"/>
      <c r="NTT104" s="450"/>
      <c r="NTU104" s="450"/>
      <c r="NTV104" s="450"/>
      <c r="NTW104" s="450"/>
      <c r="NTX104" s="450"/>
      <c r="NTY104" s="450"/>
      <c r="NTZ104" s="450"/>
      <c r="NUA104" s="450"/>
      <c r="NUB104" s="450"/>
      <c r="NUC104" s="450"/>
      <c r="NUD104" s="450"/>
      <c r="NUE104" s="450"/>
      <c r="NUF104" s="450"/>
      <c r="NUG104" s="450"/>
      <c r="NUH104" s="450"/>
      <c r="NUI104" s="450"/>
      <c r="NUJ104" s="450"/>
      <c r="NUK104" s="450"/>
      <c r="NUL104" s="450"/>
      <c r="NUM104" s="450"/>
      <c r="NUN104" s="450"/>
      <c r="NUO104" s="450"/>
      <c r="NUP104" s="450"/>
      <c r="NUQ104" s="450"/>
      <c r="NUR104" s="450"/>
      <c r="NUS104" s="450"/>
      <c r="NUT104" s="450"/>
      <c r="NUU104" s="450"/>
      <c r="NUV104" s="450"/>
      <c r="NUW104" s="450"/>
      <c r="NUX104" s="450"/>
      <c r="NUY104" s="450"/>
      <c r="NUZ104" s="450"/>
      <c r="NVA104" s="450"/>
      <c r="NVB104" s="450"/>
      <c r="NVC104" s="450"/>
      <c r="NVD104" s="450"/>
      <c r="NVE104" s="450"/>
      <c r="NVF104" s="450"/>
      <c r="NVG104" s="450"/>
      <c r="NVH104" s="450"/>
      <c r="NVI104" s="450"/>
      <c r="NVJ104" s="450"/>
      <c r="NVK104" s="450"/>
      <c r="NVL104" s="450"/>
      <c r="NVM104" s="450"/>
      <c r="NVN104" s="450"/>
      <c r="NVO104" s="450"/>
      <c r="NVP104" s="450"/>
      <c r="NVQ104" s="450"/>
      <c r="NVR104" s="450"/>
      <c r="NVS104" s="450"/>
      <c r="NVT104" s="450"/>
      <c r="NVU104" s="450"/>
      <c r="NVV104" s="450"/>
      <c r="NVW104" s="450"/>
      <c r="NVX104" s="450"/>
      <c r="NVY104" s="450"/>
      <c r="NVZ104" s="450"/>
      <c r="NWA104" s="450"/>
      <c r="NWB104" s="450"/>
      <c r="NWC104" s="450"/>
      <c r="NWD104" s="450"/>
      <c r="NWE104" s="450"/>
      <c r="NWF104" s="450"/>
      <c r="NWG104" s="450"/>
      <c r="NWH104" s="450"/>
      <c r="NWI104" s="450"/>
      <c r="NWJ104" s="450"/>
      <c r="NWK104" s="450"/>
      <c r="NWL104" s="450"/>
      <c r="NWM104" s="450"/>
      <c r="NWN104" s="450"/>
      <c r="NWO104" s="450"/>
      <c r="NWP104" s="450"/>
      <c r="NWQ104" s="450"/>
      <c r="NWR104" s="450"/>
      <c r="NWS104" s="450"/>
      <c r="NWT104" s="450"/>
      <c r="NWU104" s="450"/>
      <c r="NWV104" s="450"/>
      <c r="NWW104" s="450"/>
      <c r="NWX104" s="450"/>
      <c r="NWY104" s="450"/>
      <c r="NWZ104" s="450"/>
      <c r="NXA104" s="450"/>
      <c r="NXB104" s="450"/>
      <c r="NXC104" s="450"/>
      <c r="NXD104" s="450"/>
      <c r="NXE104" s="450"/>
      <c r="NXF104" s="450"/>
      <c r="NXG104" s="450"/>
      <c r="NXH104" s="450"/>
      <c r="NXI104" s="450"/>
      <c r="NXJ104" s="450"/>
      <c r="NXK104" s="450"/>
      <c r="NXL104" s="450"/>
      <c r="NXM104" s="450"/>
      <c r="NXN104" s="450"/>
      <c r="NXO104" s="450"/>
      <c r="NXP104" s="450"/>
      <c r="NXQ104" s="450"/>
      <c r="NXR104" s="450"/>
      <c r="NXS104" s="450"/>
      <c r="NXT104" s="450"/>
      <c r="NXU104" s="450"/>
      <c r="NXV104" s="450"/>
      <c r="NXW104" s="450"/>
      <c r="NXX104" s="450"/>
      <c r="NXY104" s="450"/>
      <c r="NXZ104" s="450"/>
      <c r="NYA104" s="450"/>
      <c r="NYB104" s="450"/>
      <c r="NYC104" s="450"/>
      <c r="NYD104" s="450"/>
      <c r="NYE104" s="450"/>
      <c r="NYF104" s="450"/>
      <c r="NYG104" s="450"/>
      <c r="NYH104" s="450"/>
      <c r="NYI104" s="450"/>
      <c r="NYJ104" s="450"/>
      <c r="NYK104" s="450"/>
      <c r="NYL104" s="450"/>
      <c r="NYM104" s="450"/>
      <c r="NYN104" s="450"/>
      <c r="NYO104" s="450"/>
      <c r="NYP104" s="450"/>
      <c r="NYQ104" s="450"/>
      <c r="NYR104" s="450"/>
      <c r="NYS104" s="450"/>
      <c r="NYT104" s="450"/>
      <c r="NYU104" s="450"/>
      <c r="NYV104" s="450"/>
      <c r="NYW104" s="450"/>
      <c r="NYX104" s="450"/>
      <c r="NYY104" s="450"/>
      <c r="NYZ104" s="450"/>
      <c r="NZA104" s="450"/>
      <c r="NZB104" s="450"/>
      <c r="NZC104" s="450"/>
      <c r="NZD104" s="450"/>
      <c r="NZE104" s="450"/>
      <c r="NZF104" s="450"/>
      <c r="NZG104" s="450"/>
      <c r="NZH104" s="450"/>
      <c r="NZI104" s="450"/>
      <c r="NZJ104" s="450"/>
      <c r="NZK104" s="450"/>
      <c r="NZL104" s="450"/>
      <c r="NZM104" s="450"/>
      <c r="NZN104" s="450"/>
      <c r="NZO104" s="450"/>
      <c r="NZP104" s="450"/>
      <c r="NZQ104" s="450"/>
      <c r="NZR104" s="450"/>
      <c r="NZS104" s="450"/>
      <c r="NZT104" s="450"/>
      <c r="NZU104" s="450"/>
      <c r="NZV104" s="450"/>
      <c r="NZW104" s="450"/>
      <c r="NZX104" s="450"/>
      <c r="NZY104" s="450"/>
      <c r="NZZ104" s="450"/>
      <c r="OAA104" s="450"/>
      <c r="OAB104" s="450"/>
      <c r="OAC104" s="450"/>
      <c r="OAD104" s="450"/>
      <c r="OAE104" s="450"/>
      <c r="OAF104" s="450"/>
      <c r="OAG104" s="450"/>
      <c r="OAH104" s="450"/>
      <c r="OAI104" s="450"/>
      <c r="OAJ104" s="450"/>
      <c r="OAK104" s="450"/>
      <c r="OAL104" s="450"/>
      <c r="OAM104" s="450"/>
      <c r="OAN104" s="450"/>
      <c r="OAO104" s="450"/>
      <c r="OAP104" s="450"/>
      <c r="OAQ104" s="450"/>
      <c r="OAR104" s="450"/>
      <c r="OAS104" s="450"/>
      <c r="OAT104" s="450"/>
      <c r="OAU104" s="450"/>
      <c r="OAV104" s="450"/>
      <c r="OAW104" s="450"/>
      <c r="OAX104" s="450"/>
      <c r="OAY104" s="450"/>
      <c r="OAZ104" s="450"/>
      <c r="OBA104" s="450"/>
      <c r="OBB104" s="450"/>
      <c r="OBC104" s="450"/>
      <c r="OBD104" s="450"/>
      <c r="OBE104" s="450"/>
      <c r="OBF104" s="450"/>
      <c r="OBG104" s="450"/>
      <c r="OBH104" s="450"/>
      <c r="OBI104" s="450"/>
      <c r="OBJ104" s="450"/>
      <c r="OBK104" s="450"/>
      <c r="OBL104" s="450"/>
      <c r="OBM104" s="450"/>
      <c r="OBN104" s="450"/>
      <c r="OBO104" s="450"/>
      <c r="OBP104" s="450"/>
      <c r="OBQ104" s="450"/>
      <c r="OBR104" s="450"/>
      <c r="OBS104" s="450"/>
      <c r="OBT104" s="450"/>
      <c r="OBU104" s="450"/>
      <c r="OBV104" s="450"/>
      <c r="OBW104" s="450"/>
      <c r="OBX104" s="450"/>
      <c r="OBY104" s="450"/>
      <c r="OBZ104" s="450"/>
      <c r="OCA104" s="450"/>
      <c r="OCB104" s="450"/>
      <c r="OCC104" s="450"/>
      <c r="OCD104" s="450"/>
      <c r="OCE104" s="450"/>
      <c r="OCF104" s="450"/>
      <c r="OCG104" s="450"/>
      <c r="OCH104" s="450"/>
      <c r="OCI104" s="450"/>
      <c r="OCJ104" s="450"/>
      <c r="OCK104" s="450"/>
      <c r="OCL104" s="450"/>
      <c r="OCM104" s="450"/>
      <c r="OCN104" s="450"/>
      <c r="OCO104" s="450"/>
      <c r="OCP104" s="450"/>
      <c r="OCQ104" s="450"/>
      <c r="OCR104" s="450"/>
      <c r="OCS104" s="450"/>
      <c r="OCT104" s="450"/>
      <c r="OCU104" s="450"/>
      <c r="OCV104" s="450"/>
      <c r="OCW104" s="450"/>
      <c r="OCX104" s="450"/>
      <c r="OCY104" s="450"/>
      <c r="OCZ104" s="450"/>
      <c r="ODA104" s="450"/>
      <c r="ODB104" s="450"/>
      <c r="ODC104" s="450"/>
      <c r="ODD104" s="450"/>
      <c r="ODE104" s="450"/>
      <c r="ODF104" s="450"/>
      <c r="ODG104" s="450"/>
      <c r="ODH104" s="450"/>
      <c r="ODI104" s="450"/>
      <c r="ODJ104" s="450"/>
      <c r="ODK104" s="450"/>
      <c r="ODL104" s="450"/>
      <c r="ODM104" s="450"/>
      <c r="ODN104" s="450"/>
      <c r="ODO104" s="450"/>
      <c r="ODP104" s="450"/>
      <c r="ODQ104" s="450"/>
      <c r="ODR104" s="450"/>
      <c r="ODS104" s="450"/>
      <c r="ODT104" s="450"/>
      <c r="ODU104" s="450"/>
      <c r="ODV104" s="450"/>
      <c r="ODW104" s="450"/>
      <c r="ODX104" s="450"/>
      <c r="ODY104" s="450"/>
      <c r="ODZ104" s="450"/>
      <c r="OEA104" s="450"/>
      <c r="OEB104" s="450"/>
      <c r="OEC104" s="450"/>
      <c r="OED104" s="450"/>
      <c r="OEE104" s="450"/>
      <c r="OEF104" s="450"/>
      <c r="OEG104" s="450"/>
      <c r="OEH104" s="450"/>
      <c r="OEI104" s="450"/>
      <c r="OEJ104" s="450"/>
      <c r="OEK104" s="450"/>
      <c r="OEL104" s="450"/>
      <c r="OEM104" s="450"/>
      <c r="OEN104" s="450"/>
      <c r="OEO104" s="450"/>
      <c r="OEP104" s="450"/>
      <c r="OEQ104" s="450"/>
      <c r="OER104" s="450"/>
      <c r="OES104" s="450"/>
      <c r="OET104" s="450"/>
      <c r="OEU104" s="450"/>
      <c r="OEV104" s="450"/>
      <c r="OEW104" s="450"/>
      <c r="OEX104" s="450"/>
      <c r="OEY104" s="450"/>
      <c r="OEZ104" s="450"/>
      <c r="OFA104" s="450"/>
      <c r="OFB104" s="450"/>
      <c r="OFC104" s="450"/>
      <c r="OFD104" s="450"/>
      <c r="OFE104" s="450"/>
      <c r="OFF104" s="450"/>
      <c r="OFG104" s="450"/>
      <c r="OFH104" s="450"/>
      <c r="OFI104" s="450"/>
      <c r="OFJ104" s="450"/>
      <c r="OFK104" s="450"/>
      <c r="OFL104" s="450"/>
      <c r="OFM104" s="450"/>
      <c r="OFN104" s="450"/>
      <c r="OFO104" s="450"/>
      <c r="OFP104" s="450"/>
      <c r="OFQ104" s="450"/>
      <c r="OFR104" s="450"/>
      <c r="OFS104" s="450"/>
      <c r="OFT104" s="450"/>
      <c r="OFU104" s="450"/>
      <c r="OFV104" s="450"/>
      <c r="OFW104" s="450"/>
      <c r="OFX104" s="450"/>
      <c r="OFY104" s="450"/>
      <c r="OFZ104" s="450"/>
      <c r="OGA104" s="450"/>
      <c r="OGB104" s="450"/>
      <c r="OGC104" s="450"/>
      <c r="OGD104" s="450"/>
      <c r="OGE104" s="450"/>
      <c r="OGF104" s="450"/>
      <c r="OGG104" s="450"/>
      <c r="OGH104" s="450"/>
      <c r="OGI104" s="450"/>
      <c r="OGJ104" s="450"/>
      <c r="OGK104" s="450"/>
      <c r="OGL104" s="450"/>
      <c r="OGM104" s="450"/>
      <c r="OGN104" s="450"/>
      <c r="OGO104" s="450"/>
      <c r="OGP104" s="450"/>
      <c r="OGQ104" s="450"/>
      <c r="OGR104" s="450"/>
      <c r="OGS104" s="450"/>
      <c r="OGT104" s="450"/>
      <c r="OGU104" s="450"/>
      <c r="OGV104" s="450"/>
      <c r="OGW104" s="450"/>
      <c r="OGX104" s="450"/>
      <c r="OGY104" s="450"/>
      <c r="OGZ104" s="450"/>
      <c r="OHA104" s="450"/>
      <c r="OHB104" s="450"/>
      <c r="OHC104" s="450"/>
      <c r="OHD104" s="450"/>
      <c r="OHE104" s="450"/>
      <c r="OHF104" s="450"/>
      <c r="OHG104" s="450"/>
      <c r="OHH104" s="450"/>
      <c r="OHI104" s="450"/>
      <c r="OHJ104" s="450"/>
      <c r="OHK104" s="450"/>
      <c r="OHL104" s="450"/>
      <c r="OHM104" s="450"/>
      <c r="OHN104" s="450"/>
      <c r="OHO104" s="450"/>
      <c r="OHP104" s="450"/>
      <c r="OHQ104" s="450"/>
      <c r="OHR104" s="450"/>
      <c r="OHS104" s="450"/>
      <c r="OHT104" s="450"/>
      <c r="OHU104" s="450"/>
      <c r="OHV104" s="450"/>
      <c r="OHW104" s="450"/>
      <c r="OHX104" s="450"/>
      <c r="OHY104" s="450"/>
      <c r="OHZ104" s="450"/>
      <c r="OIA104" s="450"/>
      <c r="OIB104" s="450"/>
      <c r="OIC104" s="450"/>
      <c r="OID104" s="450"/>
      <c r="OIE104" s="450"/>
      <c r="OIF104" s="450"/>
      <c r="OIG104" s="450"/>
      <c r="OIH104" s="450"/>
      <c r="OII104" s="450"/>
      <c r="OIJ104" s="450"/>
      <c r="OIK104" s="450"/>
      <c r="OIL104" s="450"/>
      <c r="OIM104" s="450"/>
      <c r="OIN104" s="450"/>
      <c r="OIO104" s="450"/>
      <c r="OIP104" s="450"/>
      <c r="OIQ104" s="450"/>
      <c r="OIR104" s="450"/>
      <c r="OIS104" s="450"/>
      <c r="OIT104" s="450"/>
      <c r="OIU104" s="450"/>
      <c r="OIV104" s="450"/>
      <c r="OIW104" s="450"/>
      <c r="OIX104" s="450"/>
      <c r="OIY104" s="450"/>
      <c r="OIZ104" s="450"/>
      <c r="OJA104" s="450"/>
      <c r="OJB104" s="450"/>
      <c r="OJC104" s="450"/>
      <c r="OJD104" s="450"/>
      <c r="OJE104" s="450"/>
      <c r="OJF104" s="450"/>
      <c r="OJG104" s="450"/>
      <c r="OJH104" s="450"/>
      <c r="OJI104" s="450"/>
      <c r="OJJ104" s="450"/>
      <c r="OJK104" s="450"/>
      <c r="OJL104" s="450"/>
      <c r="OJM104" s="450"/>
      <c r="OJN104" s="450"/>
      <c r="OJO104" s="450"/>
      <c r="OJP104" s="450"/>
      <c r="OJQ104" s="450"/>
      <c r="OJR104" s="450"/>
      <c r="OJS104" s="450"/>
      <c r="OJT104" s="450"/>
      <c r="OJU104" s="450"/>
      <c r="OJV104" s="450"/>
      <c r="OJW104" s="450"/>
      <c r="OJX104" s="450"/>
      <c r="OJY104" s="450"/>
      <c r="OJZ104" s="450"/>
      <c r="OKA104" s="450"/>
      <c r="OKB104" s="450"/>
      <c r="OKC104" s="450"/>
      <c r="OKD104" s="450"/>
      <c r="OKE104" s="450"/>
      <c r="OKF104" s="450"/>
      <c r="OKG104" s="450"/>
      <c r="OKH104" s="450"/>
      <c r="OKI104" s="450"/>
      <c r="OKJ104" s="450"/>
      <c r="OKK104" s="450"/>
      <c r="OKL104" s="450"/>
      <c r="OKM104" s="450"/>
      <c r="OKN104" s="450"/>
      <c r="OKO104" s="450"/>
      <c r="OKP104" s="450"/>
      <c r="OKQ104" s="450"/>
      <c r="OKR104" s="450"/>
      <c r="OKS104" s="450"/>
      <c r="OKT104" s="450"/>
      <c r="OKU104" s="450"/>
      <c r="OKV104" s="450"/>
      <c r="OKW104" s="450"/>
      <c r="OKX104" s="450"/>
      <c r="OKY104" s="450"/>
      <c r="OKZ104" s="450"/>
      <c r="OLA104" s="450"/>
      <c r="OLB104" s="450"/>
      <c r="OLC104" s="450"/>
      <c r="OLD104" s="450"/>
      <c r="OLE104" s="450"/>
      <c r="OLF104" s="450"/>
      <c r="OLG104" s="450"/>
      <c r="OLH104" s="450"/>
      <c r="OLI104" s="450"/>
      <c r="OLJ104" s="450"/>
      <c r="OLK104" s="450"/>
      <c r="OLL104" s="450"/>
      <c r="OLM104" s="450"/>
      <c r="OLN104" s="450"/>
      <c r="OLO104" s="450"/>
      <c r="OLP104" s="450"/>
      <c r="OLQ104" s="450"/>
      <c r="OLR104" s="450"/>
      <c r="OLS104" s="450"/>
      <c r="OLT104" s="450"/>
      <c r="OLU104" s="450"/>
      <c r="OLV104" s="450"/>
      <c r="OLW104" s="450"/>
      <c r="OLX104" s="450"/>
      <c r="OLY104" s="450"/>
      <c r="OLZ104" s="450"/>
      <c r="OMA104" s="450"/>
      <c r="OMB104" s="450"/>
      <c r="OMC104" s="450"/>
      <c r="OMD104" s="450"/>
      <c r="OME104" s="450"/>
      <c r="OMF104" s="450"/>
      <c r="OMG104" s="450"/>
      <c r="OMH104" s="450"/>
      <c r="OMI104" s="450"/>
      <c r="OMJ104" s="450"/>
      <c r="OMK104" s="450"/>
      <c r="OML104" s="450"/>
      <c r="OMM104" s="450"/>
      <c r="OMN104" s="450"/>
      <c r="OMO104" s="450"/>
      <c r="OMP104" s="450"/>
      <c r="OMQ104" s="450"/>
      <c r="OMR104" s="450"/>
      <c r="OMS104" s="450"/>
      <c r="OMT104" s="450"/>
      <c r="OMU104" s="450"/>
      <c r="OMV104" s="450"/>
      <c r="OMW104" s="450"/>
      <c r="OMX104" s="450"/>
      <c r="OMY104" s="450"/>
      <c r="OMZ104" s="450"/>
      <c r="ONA104" s="450"/>
      <c r="ONB104" s="450"/>
      <c r="ONC104" s="450"/>
      <c r="OND104" s="450"/>
      <c r="ONE104" s="450"/>
      <c r="ONF104" s="450"/>
      <c r="ONG104" s="450"/>
      <c r="ONH104" s="450"/>
      <c r="ONI104" s="450"/>
      <c r="ONJ104" s="450"/>
      <c r="ONK104" s="450"/>
      <c r="ONL104" s="450"/>
      <c r="ONM104" s="450"/>
      <c r="ONN104" s="450"/>
      <c r="ONO104" s="450"/>
      <c r="ONP104" s="450"/>
      <c r="ONQ104" s="450"/>
      <c r="ONR104" s="450"/>
      <c r="ONS104" s="450"/>
      <c r="ONT104" s="450"/>
      <c r="ONU104" s="450"/>
      <c r="ONV104" s="450"/>
      <c r="ONW104" s="450"/>
      <c r="ONX104" s="450"/>
      <c r="ONY104" s="450"/>
      <c r="ONZ104" s="450"/>
      <c r="OOA104" s="450"/>
      <c r="OOB104" s="450"/>
      <c r="OOC104" s="450"/>
      <c r="OOD104" s="450"/>
      <c r="OOE104" s="450"/>
      <c r="OOF104" s="450"/>
      <c r="OOG104" s="450"/>
      <c r="OOH104" s="450"/>
      <c r="OOI104" s="450"/>
      <c r="OOJ104" s="450"/>
      <c r="OOK104" s="450"/>
      <c r="OOL104" s="450"/>
      <c r="OOM104" s="450"/>
      <c r="OON104" s="450"/>
      <c r="OOO104" s="450"/>
      <c r="OOP104" s="450"/>
      <c r="OOQ104" s="450"/>
      <c r="OOR104" s="450"/>
      <c r="OOS104" s="450"/>
      <c r="OOT104" s="450"/>
      <c r="OOU104" s="450"/>
      <c r="OOV104" s="450"/>
      <c r="OOW104" s="450"/>
      <c r="OOX104" s="450"/>
      <c r="OOY104" s="450"/>
      <c r="OOZ104" s="450"/>
      <c r="OPA104" s="450"/>
      <c r="OPB104" s="450"/>
      <c r="OPC104" s="450"/>
      <c r="OPD104" s="450"/>
      <c r="OPE104" s="450"/>
      <c r="OPF104" s="450"/>
      <c r="OPG104" s="450"/>
      <c r="OPH104" s="450"/>
      <c r="OPI104" s="450"/>
      <c r="OPJ104" s="450"/>
      <c r="OPK104" s="450"/>
      <c r="OPL104" s="450"/>
      <c r="OPM104" s="450"/>
      <c r="OPN104" s="450"/>
      <c r="OPO104" s="450"/>
      <c r="OPP104" s="450"/>
      <c r="OPQ104" s="450"/>
      <c r="OPR104" s="450"/>
      <c r="OPS104" s="450"/>
      <c r="OPT104" s="450"/>
      <c r="OPU104" s="450"/>
      <c r="OPV104" s="450"/>
      <c r="OPW104" s="450"/>
      <c r="OPX104" s="450"/>
      <c r="OPY104" s="450"/>
      <c r="OPZ104" s="450"/>
      <c r="OQA104" s="450"/>
      <c r="OQB104" s="450"/>
      <c r="OQC104" s="450"/>
      <c r="OQD104" s="450"/>
      <c r="OQE104" s="450"/>
      <c r="OQF104" s="450"/>
      <c r="OQG104" s="450"/>
      <c r="OQH104" s="450"/>
      <c r="OQI104" s="450"/>
      <c r="OQJ104" s="450"/>
      <c r="OQK104" s="450"/>
      <c r="OQL104" s="450"/>
      <c r="OQM104" s="450"/>
      <c r="OQN104" s="450"/>
      <c r="OQO104" s="450"/>
      <c r="OQP104" s="450"/>
      <c r="OQQ104" s="450"/>
      <c r="OQR104" s="450"/>
      <c r="OQS104" s="450"/>
      <c r="OQT104" s="450"/>
      <c r="OQU104" s="450"/>
      <c r="OQV104" s="450"/>
      <c r="OQW104" s="450"/>
      <c r="OQX104" s="450"/>
      <c r="OQY104" s="450"/>
      <c r="OQZ104" s="450"/>
      <c r="ORA104" s="450"/>
      <c r="ORB104" s="450"/>
      <c r="ORC104" s="450"/>
      <c r="ORD104" s="450"/>
      <c r="ORE104" s="450"/>
      <c r="ORF104" s="450"/>
      <c r="ORG104" s="450"/>
      <c r="ORH104" s="450"/>
      <c r="ORI104" s="450"/>
      <c r="ORJ104" s="450"/>
      <c r="ORK104" s="450"/>
      <c r="ORL104" s="450"/>
      <c r="ORM104" s="450"/>
      <c r="ORN104" s="450"/>
      <c r="ORO104" s="450"/>
      <c r="ORP104" s="450"/>
      <c r="ORQ104" s="450"/>
      <c r="ORR104" s="450"/>
      <c r="ORS104" s="450"/>
      <c r="ORT104" s="450"/>
      <c r="ORU104" s="450"/>
      <c r="ORV104" s="450"/>
      <c r="ORW104" s="450"/>
      <c r="ORX104" s="450"/>
      <c r="ORY104" s="450"/>
      <c r="ORZ104" s="450"/>
      <c r="OSA104" s="450"/>
      <c r="OSB104" s="450"/>
      <c r="OSC104" s="450"/>
      <c r="OSD104" s="450"/>
      <c r="OSE104" s="450"/>
      <c r="OSF104" s="450"/>
      <c r="OSG104" s="450"/>
      <c r="OSH104" s="450"/>
      <c r="OSI104" s="450"/>
      <c r="OSJ104" s="450"/>
      <c r="OSK104" s="450"/>
      <c r="OSL104" s="450"/>
      <c r="OSM104" s="450"/>
      <c r="OSN104" s="450"/>
      <c r="OSO104" s="450"/>
      <c r="OSP104" s="450"/>
      <c r="OSQ104" s="450"/>
      <c r="OSR104" s="450"/>
      <c r="OSS104" s="450"/>
      <c r="OST104" s="450"/>
      <c r="OSU104" s="450"/>
      <c r="OSV104" s="450"/>
      <c r="OSW104" s="450"/>
      <c r="OSX104" s="450"/>
      <c r="OSY104" s="450"/>
      <c r="OSZ104" s="450"/>
      <c r="OTA104" s="450"/>
      <c r="OTB104" s="450"/>
      <c r="OTC104" s="450"/>
      <c r="OTD104" s="450"/>
      <c r="OTE104" s="450"/>
      <c r="OTF104" s="450"/>
      <c r="OTG104" s="450"/>
      <c r="OTH104" s="450"/>
      <c r="OTI104" s="450"/>
      <c r="OTJ104" s="450"/>
      <c r="OTK104" s="450"/>
      <c r="OTL104" s="450"/>
      <c r="OTM104" s="450"/>
      <c r="OTN104" s="450"/>
      <c r="OTO104" s="450"/>
      <c r="OTP104" s="450"/>
      <c r="OTQ104" s="450"/>
      <c r="OTR104" s="450"/>
      <c r="OTS104" s="450"/>
      <c r="OTT104" s="450"/>
      <c r="OTU104" s="450"/>
      <c r="OTV104" s="450"/>
      <c r="OTW104" s="450"/>
      <c r="OTX104" s="450"/>
      <c r="OTY104" s="450"/>
      <c r="OTZ104" s="450"/>
      <c r="OUA104" s="450"/>
      <c r="OUB104" s="450"/>
      <c r="OUC104" s="450"/>
      <c r="OUD104" s="450"/>
      <c r="OUE104" s="450"/>
      <c r="OUF104" s="450"/>
      <c r="OUG104" s="450"/>
      <c r="OUH104" s="450"/>
      <c r="OUI104" s="450"/>
      <c r="OUJ104" s="450"/>
      <c r="OUK104" s="450"/>
      <c r="OUL104" s="450"/>
      <c r="OUM104" s="450"/>
      <c r="OUN104" s="450"/>
      <c r="OUO104" s="450"/>
      <c r="OUP104" s="450"/>
      <c r="OUQ104" s="450"/>
      <c r="OUR104" s="450"/>
      <c r="OUS104" s="450"/>
      <c r="OUT104" s="450"/>
      <c r="OUU104" s="450"/>
      <c r="OUV104" s="450"/>
      <c r="OUW104" s="450"/>
      <c r="OUX104" s="450"/>
      <c r="OUY104" s="450"/>
      <c r="OUZ104" s="450"/>
      <c r="OVA104" s="450"/>
      <c r="OVB104" s="450"/>
      <c r="OVC104" s="450"/>
      <c r="OVD104" s="450"/>
      <c r="OVE104" s="450"/>
      <c r="OVF104" s="450"/>
      <c r="OVG104" s="450"/>
      <c r="OVH104" s="450"/>
      <c r="OVI104" s="450"/>
      <c r="OVJ104" s="450"/>
      <c r="OVK104" s="450"/>
      <c r="OVL104" s="450"/>
      <c r="OVM104" s="450"/>
      <c r="OVN104" s="450"/>
      <c r="OVO104" s="450"/>
      <c r="OVP104" s="450"/>
      <c r="OVQ104" s="450"/>
      <c r="OVR104" s="450"/>
      <c r="OVS104" s="450"/>
      <c r="OVT104" s="450"/>
      <c r="OVU104" s="450"/>
      <c r="OVV104" s="450"/>
      <c r="OVW104" s="450"/>
      <c r="OVX104" s="450"/>
      <c r="OVY104" s="450"/>
      <c r="OVZ104" s="450"/>
      <c r="OWA104" s="450"/>
      <c r="OWB104" s="450"/>
      <c r="OWC104" s="450"/>
      <c r="OWD104" s="450"/>
      <c r="OWE104" s="450"/>
      <c r="OWF104" s="450"/>
      <c r="OWG104" s="450"/>
      <c r="OWH104" s="450"/>
      <c r="OWI104" s="450"/>
      <c r="OWJ104" s="450"/>
      <c r="OWK104" s="450"/>
      <c r="OWL104" s="450"/>
      <c r="OWM104" s="450"/>
      <c r="OWN104" s="450"/>
      <c r="OWO104" s="450"/>
      <c r="OWP104" s="450"/>
      <c r="OWQ104" s="450"/>
      <c r="OWR104" s="450"/>
      <c r="OWS104" s="450"/>
      <c r="OWT104" s="450"/>
      <c r="OWU104" s="450"/>
      <c r="OWV104" s="450"/>
      <c r="OWW104" s="450"/>
      <c r="OWX104" s="450"/>
      <c r="OWY104" s="450"/>
      <c r="OWZ104" s="450"/>
      <c r="OXA104" s="450"/>
      <c r="OXB104" s="450"/>
      <c r="OXC104" s="450"/>
      <c r="OXD104" s="450"/>
      <c r="OXE104" s="450"/>
      <c r="OXF104" s="450"/>
      <c r="OXG104" s="450"/>
      <c r="OXH104" s="450"/>
      <c r="OXI104" s="450"/>
      <c r="OXJ104" s="450"/>
      <c r="OXK104" s="450"/>
      <c r="OXL104" s="450"/>
      <c r="OXM104" s="450"/>
      <c r="OXN104" s="450"/>
      <c r="OXO104" s="450"/>
      <c r="OXP104" s="450"/>
      <c r="OXQ104" s="450"/>
      <c r="OXR104" s="450"/>
      <c r="OXS104" s="450"/>
      <c r="OXT104" s="450"/>
      <c r="OXU104" s="450"/>
      <c r="OXV104" s="450"/>
      <c r="OXW104" s="450"/>
      <c r="OXX104" s="450"/>
      <c r="OXY104" s="450"/>
      <c r="OXZ104" s="450"/>
      <c r="OYA104" s="450"/>
      <c r="OYB104" s="450"/>
      <c r="OYC104" s="450"/>
      <c r="OYD104" s="450"/>
      <c r="OYE104" s="450"/>
      <c r="OYF104" s="450"/>
      <c r="OYG104" s="450"/>
      <c r="OYH104" s="450"/>
      <c r="OYI104" s="450"/>
      <c r="OYJ104" s="450"/>
      <c r="OYK104" s="450"/>
      <c r="OYL104" s="450"/>
      <c r="OYM104" s="450"/>
      <c r="OYN104" s="450"/>
      <c r="OYO104" s="450"/>
      <c r="OYP104" s="450"/>
      <c r="OYQ104" s="450"/>
      <c r="OYR104" s="450"/>
      <c r="OYS104" s="450"/>
      <c r="OYT104" s="450"/>
      <c r="OYU104" s="450"/>
      <c r="OYV104" s="450"/>
      <c r="OYW104" s="450"/>
      <c r="OYX104" s="450"/>
      <c r="OYY104" s="450"/>
      <c r="OYZ104" s="450"/>
      <c r="OZA104" s="450"/>
      <c r="OZB104" s="450"/>
      <c r="OZC104" s="450"/>
      <c r="OZD104" s="450"/>
      <c r="OZE104" s="450"/>
      <c r="OZF104" s="450"/>
      <c r="OZG104" s="450"/>
      <c r="OZH104" s="450"/>
      <c r="OZI104" s="450"/>
      <c r="OZJ104" s="450"/>
      <c r="OZK104" s="450"/>
      <c r="OZL104" s="450"/>
      <c r="OZM104" s="450"/>
      <c r="OZN104" s="450"/>
      <c r="OZO104" s="450"/>
      <c r="OZP104" s="450"/>
      <c r="OZQ104" s="450"/>
      <c r="OZR104" s="450"/>
      <c r="OZS104" s="450"/>
      <c r="OZT104" s="450"/>
      <c r="OZU104" s="450"/>
      <c r="OZV104" s="450"/>
      <c r="OZW104" s="450"/>
      <c r="OZX104" s="450"/>
      <c r="OZY104" s="450"/>
      <c r="OZZ104" s="450"/>
      <c r="PAA104" s="450"/>
      <c r="PAB104" s="450"/>
      <c r="PAC104" s="450"/>
      <c r="PAD104" s="450"/>
      <c r="PAE104" s="450"/>
      <c r="PAF104" s="450"/>
      <c r="PAG104" s="450"/>
      <c r="PAH104" s="450"/>
      <c r="PAI104" s="450"/>
      <c r="PAJ104" s="450"/>
      <c r="PAK104" s="450"/>
      <c r="PAL104" s="450"/>
      <c r="PAM104" s="450"/>
      <c r="PAN104" s="450"/>
      <c r="PAO104" s="450"/>
      <c r="PAP104" s="450"/>
      <c r="PAQ104" s="450"/>
      <c r="PAR104" s="450"/>
      <c r="PAS104" s="450"/>
      <c r="PAT104" s="450"/>
      <c r="PAU104" s="450"/>
      <c r="PAV104" s="450"/>
      <c r="PAW104" s="450"/>
      <c r="PAX104" s="450"/>
      <c r="PAY104" s="450"/>
      <c r="PAZ104" s="450"/>
      <c r="PBA104" s="450"/>
      <c r="PBB104" s="450"/>
      <c r="PBC104" s="450"/>
      <c r="PBD104" s="450"/>
      <c r="PBE104" s="450"/>
      <c r="PBF104" s="450"/>
      <c r="PBG104" s="450"/>
      <c r="PBH104" s="450"/>
      <c r="PBI104" s="450"/>
      <c r="PBJ104" s="450"/>
      <c r="PBK104" s="450"/>
      <c r="PBL104" s="450"/>
      <c r="PBM104" s="450"/>
      <c r="PBN104" s="450"/>
      <c r="PBO104" s="450"/>
      <c r="PBP104" s="450"/>
      <c r="PBQ104" s="450"/>
      <c r="PBR104" s="450"/>
      <c r="PBS104" s="450"/>
      <c r="PBT104" s="450"/>
      <c r="PBU104" s="450"/>
      <c r="PBV104" s="450"/>
      <c r="PBW104" s="450"/>
      <c r="PBX104" s="450"/>
      <c r="PBY104" s="450"/>
      <c r="PBZ104" s="450"/>
      <c r="PCA104" s="450"/>
      <c r="PCB104" s="450"/>
      <c r="PCC104" s="450"/>
      <c r="PCD104" s="450"/>
      <c r="PCE104" s="450"/>
      <c r="PCF104" s="450"/>
      <c r="PCG104" s="450"/>
      <c r="PCH104" s="450"/>
      <c r="PCI104" s="450"/>
      <c r="PCJ104" s="450"/>
      <c r="PCK104" s="450"/>
      <c r="PCL104" s="450"/>
      <c r="PCM104" s="450"/>
      <c r="PCN104" s="450"/>
      <c r="PCO104" s="450"/>
      <c r="PCP104" s="450"/>
      <c r="PCQ104" s="450"/>
      <c r="PCR104" s="450"/>
      <c r="PCS104" s="450"/>
      <c r="PCT104" s="450"/>
      <c r="PCU104" s="450"/>
      <c r="PCV104" s="450"/>
      <c r="PCW104" s="450"/>
      <c r="PCX104" s="450"/>
      <c r="PCY104" s="450"/>
      <c r="PCZ104" s="450"/>
      <c r="PDA104" s="450"/>
      <c r="PDB104" s="450"/>
      <c r="PDC104" s="450"/>
      <c r="PDD104" s="450"/>
      <c r="PDE104" s="450"/>
      <c r="PDF104" s="450"/>
      <c r="PDG104" s="450"/>
      <c r="PDH104" s="450"/>
      <c r="PDI104" s="450"/>
      <c r="PDJ104" s="450"/>
      <c r="PDK104" s="450"/>
      <c r="PDL104" s="450"/>
      <c r="PDM104" s="450"/>
      <c r="PDN104" s="450"/>
      <c r="PDO104" s="450"/>
      <c r="PDP104" s="450"/>
      <c r="PDQ104" s="450"/>
      <c r="PDR104" s="450"/>
      <c r="PDS104" s="450"/>
      <c r="PDT104" s="450"/>
      <c r="PDU104" s="450"/>
      <c r="PDV104" s="450"/>
      <c r="PDW104" s="450"/>
      <c r="PDX104" s="450"/>
      <c r="PDY104" s="450"/>
      <c r="PDZ104" s="450"/>
      <c r="PEA104" s="450"/>
      <c r="PEB104" s="450"/>
      <c r="PEC104" s="450"/>
      <c r="PED104" s="450"/>
      <c r="PEE104" s="450"/>
      <c r="PEF104" s="450"/>
      <c r="PEG104" s="450"/>
      <c r="PEH104" s="450"/>
      <c r="PEI104" s="450"/>
      <c r="PEJ104" s="450"/>
      <c r="PEK104" s="450"/>
      <c r="PEL104" s="450"/>
      <c r="PEM104" s="450"/>
      <c r="PEN104" s="450"/>
      <c r="PEO104" s="450"/>
      <c r="PEP104" s="450"/>
      <c r="PEQ104" s="450"/>
      <c r="PER104" s="450"/>
      <c r="PES104" s="450"/>
      <c r="PET104" s="450"/>
      <c r="PEU104" s="450"/>
      <c r="PEV104" s="450"/>
      <c r="PEW104" s="450"/>
      <c r="PEX104" s="450"/>
      <c r="PEY104" s="450"/>
      <c r="PEZ104" s="450"/>
      <c r="PFA104" s="450"/>
      <c r="PFB104" s="450"/>
      <c r="PFC104" s="450"/>
      <c r="PFD104" s="450"/>
      <c r="PFE104" s="450"/>
      <c r="PFF104" s="450"/>
      <c r="PFG104" s="450"/>
      <c r="PFH104" s="450"/>
      <c r="PFI104" s="450"/>
      <c r="PFJ104" s="450"/>
      <c r="PFK104" s="450"/>
      <c r="PFL104" s="450"/>
      <c r="PFM104" s="450"/>
      <c r="PFN104" s="450"/>
      <c r="PFO104" s="450"/>
      <c r="PFP104" s="450"/>
      <c r="PFQ104" s="450"/>
      <c r="PFR104" s="450"/>
      <c r="PFS104" s="450"/>
      <c r="PFT104" s="450"/>
      <c r="PFU104" s="450"/>
      <c r="PFV104" s="450"/>
      <c r="PFW104" s="450"/>
      <c r="PFX104" s="450"/>
      <c r="PFY104" s="450"/>
      <c r="PFZ104" s="450"/>
      <c r="PGA104" s="450"/>
      <c r="PGB104" s="450"/>
      <c r="PGC104" s="450"/>
      <c r="PGD104" s="450"/>
      <c r="PGE104" s="450"/>
      <c r="PGF104" s="450"/>
      <c r="PGG104" s="450"/>
      <c r="PGH104" s="450"/>
      <c r="PGI104" s="450"/>
      <c r="PGJ104" s="450"/>
      <c r="PGK104" s="450"/>
      <c r="PGL104" s="450"/>
      <c r="PGM104" s="450"/>
      <c r="PGN104" s="450"/>
      <c r="PGO104" s="450"/>
      <c r="PGP104" s="450"/>
      <c r="PGQ104" s="450"/>
      <c r="PGR104" s="450"/>
      <c r="PGS104" s="450"/>
      <c r="PGT104" s="450"/>
      <c r="PGU104" s="450"/>
      <c r="PGV104" s="450"/>
      <c r="PGW104" s="450"/>
      <c r="PGX104" s="450"/>
      <c r="PGY104" s="450"/>
      <c r="PGZ104" s="450"/>
      <c r="PHA104" s="450"/>
      <c r="PHB104" s="450"/>
      <c r="PHC104" s="450"/>
      <c r="PHD104" s="450"/>
      <c r="PHE104" s="450"/>
      <c r="PHF104" s="450"/>
      <c r="PHG104" s="450"/>
      <c r="PHH104" s="450"/>
      <c r="PHI104" s="450"/>
      <c r="PHJ104" s="450"/>
      <c r="PHK104" s="450"/>
      <c r="PHL104" s="450"/>
      <c r="PHM104" s="450"/>
      <c r="PHN104" s="450"/>
      <c r="PHO104" s="450"/>
      <c r="PHP104" s="450"/>
      <c r="PHQ104" s="450"/>
      <c r="PHR104" s="450"/>
      <c r="PHS104" s="450"/>
      <c r="PHT104" s="450"/>
      <c r="PHU104" s="450"/>
      <c r="PHV104" s="450"/>
      <c r="PHW104" s="450"/>
      <c r="PHX104" s="450"/>
      <c r="PHY104" s="450"/>
      <c r="PHZ104" s="450"/>
      <c r="PIA104" s="450"/>
      <c r="PIB104" s="450"/>
      <c r="PIC104" s="450"/>
      <c r="PID104" s="450"/>
      <c r="PIE104" s="450"/>
      <c r="PIF104" s="450"/>
      <c r="PIG104" s="450"/>
      <c r="PIH104" s="450"/>
      <c r="PII104" s="450"/>
      <c r="PIJ104" s="450"/>
      <c r="PIK104" s="450"/>
      <c r="PIL104" s="450"/>
      <c r="PIM104" s="450"/>
      <c r="PIN104" s="450"/>
      <c r="PIO104" s="450"/>
      <c r="PIP104" s="450"/>
      <c r="PIQ104" s="450"/>
      <c r="PIR104" s="450"/>
      <c r="PIS104" s="450"/>
      <c r="PIT104" s="450"/>
      <c r="PIU104" s="450"/>
      <c r="PIV104" s="450"/>
      <c r="PIW104" s="450"/>
      <c r="PIX104" s="450"/>
      <c r="PIY104" s="450"/>
      <c r="PIZ104" s="450"/>
      <c r="PJA104" s="450"/>
      <c r="PJB104" s="450"/>
      <c r="PJC104" s="450"/>
      <c r="PJD104" s="450"/>
      <c r="PJE104" s="450"/>
      <c r="PJF104" s="450"/>
      <c r="PJG104" s="450"/>
      <c r="PJH104" s="450"/>
      <c r="PJI104" s="450"/>
      <c r="PJJ104" s="450"/>
      <c r="PJK104" s="450"/>
      <c r="PJL104" s="450"/>
      <c r="PJM104" s="450"/>
      <c r="PJN104" s="450"/>
      <c r="PJO104" s="450"/>
      <c r="PJP104" s="450"/>
      <c r="PJQ104" s="450"/>
      <c r="PJR104" s="450"/>
      <c r="PJS104" s="450"/>
      <c r="PJT104" s="450"/>
      <c r="PJU104" s="450"/>
      <c r="PJV104" s="450"/>
      <c r="PJW104" s="450"/>
      <c r="PJX104" s="450"/>
      <c r="PJY104" s="450"/>
      <c r="PJZ104" s="450"/>
      <c r="PKA104" s="450"/>
      <c r="PKB104" s="450"/>
      <c r="PKC104" s="450"/>
      <c r="PKD104" s="450"/>
      <c r="PKE104" s="450"/>
      <c r="PKF104" s="450"/>
      <c r="PKG104" s="450"/>
      <c r="PKH104" s="450"/>
      <c r="PKI104" s="450"/>
      <c r="PKJ104" s="450"/>
      <c r="PKK104" s="450"/>
      <c r="PKL104" s="450"/>
      <c r="PKM104" s="450"/>
      <c r="PKN104" s="450"/>
      <c r="PKO104" s="450"/>
      <c r="PKP104" s="450"/>
      <c r="PKQ104" s="450"/>
      <c r="PKR104" s="450"/>
      <c r="PKS104" s="450"/>
      <c r="PKT104" s="450"/>
      <c r="PKU104" s="450"/>
      <c r="PKV104" s="450"/>
      <c r="PKW104" s="450"/>
      <c r="PKX104" s="450"/>
      <c r="PKY104" s="450"/>
      <c r="PKZ104" s="450"/>
      <c r="PLA104" s="450"/>
      <c r="PLB104" s="450"/>
      <c r="PLC104" s="450"/>
      <c r="PLD104" s="450"/>
      <c r="PLE104" s="450"/>
      <c r="PLF104" s="450"/>
      <c r="PLG104" s="450"/>
      <c r="PLH104" s="450"/>
      <c r="PLI104" s="450"/>
      <c r="PLJ104" s="450"/>
      <c r="PLK104" s="450"/>
      <c r="PLL104" s="450"/>
      <c r="PLM104" s="450"/>
      <c r="PLN104" s="450"/>
      <c r="PLO104" s="450"/>
      <c r="PLP104" s="450"/>
      <c r="PLQ104" s="450"/>
      <c r="PLR104" s="450"/>
      <c r="PLS104" s="450"/>
      <c r="PLT104" s="450"/>
      <c r="PLU104" s="450"/>
      <c r="PLV104" s="450"/>
      <c r="PLW104" s="450"/>
      <c r="PLX104" s="450"/>
      <c r="PLY104" s="450"/>
      <c r="PLZ104" s="450"/>
      <c r="PMA104" s="450"/>
      <c r="PMB104" s="450"/>
      <c r="PMC104" s="450"/>
      <c r="PMD104" s="450"/>
      <c r="PME104" s="450"/>
      <c r="PMF104" s="450"/>
      <c r="PMG104" s="450"/>
      <c r="PMH104" s="450"/>
      <c r="PMI104" s="450"/>
      <c r="PMJ104" s="450"/>
      <c r="PMK104" s="450"/>
      <c r="PML104" s="450"/>
      <c r="PMM104" s="450"/>
      <c r="PMN104" s="450"/>
      <c r="PMO104" s="450"/>
      <c r="PMP104" s="450"/>
      <c r="PMQ104" s="450"/>
      <c r="PMR104" s="450"/>
      <c r="PMS104" s="450"/>
      <c r="PMT104" s="450"/>
      <c r="PMU104" s="450"/>
      <c r="PMV104" s="450"/>
      <c r="PMW104" s="450"/>
      <c r="PMX104" s="450"/>
      <c r="PMY104" s="450"/>
      <c r="PMZ104" s="450"/>
      <c r="PNA104" s="450"/>
      <c r="PNB104" s="450"/>
      <c r="PNC104" s="450"/>
      <c r="PND104" s="450"/>
      <c r="PNE104" s="450"/>
      <c r="PNF104" s="450"/>
      <c r="PNG104" s="450"/>
      <c r="PNH104" s="450"/>
      <c r="PNI104" s="450"/>
      <c r="PNJ104" s="450"/>
      <c r="PNK104" s="450"/>
      <c r="PNL104" s="450"/>
      <c r="PNM104" s="450"/>
      <c r="PNN104" s="450"/>
      <c r="PNO104" s="450"/>
      <c r="PNP104" s="450"/>
      <c r="PNQ104" s="450"/>
      <c r="PNR104" s="450"/>
      <c r="PNS104" s="450"/>
      <c r="PNT104" s="450"/>
      <c r="PNU104" s="450"/>
      <c r="PNV104" s="450"/>
      <c r="PNW104" s="450"/>
      <c r="PNX104" s="450"/>
      <c r="PNY104" s="450"/>
      <c r="PNZ104" s="450"/>
      <c r="POA104" s="450"/>
      <c r="POB104" s="450"/>
      <c r="POC104" s="450"/>
      <c r="POD104" s="450"/>
      <c r="POE104" s="450"/>
      <c r="POF104" s="450"/>
      <c r="POG104" s="450"/>
      <c r="POH104" s="450"/>
      <c r="POI104" s="450"/>
      <c r="POJ104" s="450"/>
      <c r="POK104" s="450"/>
      <c r="POL104" s="450"/>
      <c r="POM104" s="450"/>
      <c r="PON104" s="450"/>
      <c r="POO104" s="450"/>
      <c r="POP104" s="450"/>
      <c r="POQ104" s="450"/>
      <c r="POR104" s="450"/>
      <c r="POS104" s="450"/>
      <c r="POT104" s="450"/>
      <c r="POU104" s="450"/>
      <c r="POV104" s="450"/>
      <c r="POW104" s="450"/>
      <c r="POX104" s="450"/>
      <c r="POY104" s="450"/>
      <c r="POZ104" s="450"/>
      <c r="PPA104" s="450"/>
      <c r="PPB104" s="450"/>
      <c r="PPC104" s="450"/>
      <c r="PPD104" s="450"/>
      <c r="PPE104" s="450"/>
      <c r="PPF104" s="450"/>
      <c r="PPG104" s="450"/>
      <c r="PPH104" s="450"/>
      <c r="PPI104" s="450"/>
      <c r="PPJ104" s="450"/>
      <c r="PPK104" s="450"/>
      <c r="PPL104" s="450"/>
      <c r="PPM104" s="450"/>
      <c r="PPN104" s="450"/>
      <c r="PPO104" s="450"/>
      <c r="PPP104" s="450"/>
      <c r="PPQ104" s="450"/>
      <c r="PPR104" s="450"/>
      <c r="PPS104" s="450"/>
      <c r="PPT104" s="450"/>
      <c r="PPU104" s="450"/>
      <c r="PPV104" s="450"/>
      <c r="PPW104" s="450"/>
      <c r="PPX104" s="450"/>
      <c r="PPY104" s="450"/>
      <c r="PPZ104" s="450"/>
      <c r="PQA104" s="450"/>
      <c r="PQB104" s="450"/>
      <c r="PQC104" s="450"/>
      <c r="PQD104" s="450"/>
      <c r="PQE104" s="450"/>
      <c r="PQF104" s="450"/>
      <c r="PQG104" s="450"/>
      <c r="PQH104" s="450"/>
      <c r="PQI104" s="450"/>
      <c r="PQJ104" s="450"/>
      <c r="PQK104" s="450"/>
      <c r="PQL104" s="450"/>
      <c r="PQM104" s="450"/>
      <c r="PQN104" s="450"/>
      <c r="PQO104" s="450"/>
      <c r="PQP104" s="450"/>
      <c r="PQQ104" s="450"/>
      <c r="PQR104" s="450"/>
      <c r="PQS104" s="450"/>
      <c r="PQT104" s="450"/>
      <c r="PQU104" s="450"/>
      <c r="PQV104" s="450"/>
      <c r="PQW104" s="450"/>
      <c r="PQX104" s="450"/>
      <c r="PQY104" s="450"/>
      <c r="PQZ104" s="450"/>
      <c r="PRA104" s="450"/>
      <c r="PRB104" s="450"/>
      <c r="PRC104" s="450"/>
      <c r="PRD104" s="450"/>
      <c r="PRE104" s="450"/>
      <c r="PRF104" s="450"/>
      <c r="PRG104" s="450"/>
      <c r="PRH104" s="450"/>
      <c r="PRI104" s="450"/>
      <c r="PRJ104" s="450"/>
      <c r="PRK104" s="450"/>
      <c r="PRL104" s="450"/>
      <c r="PRM104" s="450"/>
      <c r="PRN104" s="450"/>
      <c r="PRO104" s="450"/>
      <c r="PRP104" s="450"/>
      <c r="PRQ104" s="450"/>
      <c r="PRR104" s="450"/>
      <c r="PRS104" s="450"/>
      <c r="PRT104" s="450"/>
      <c r="PRU104" s="450"/>
      <c r="PRV104" s="450"/>
      <c r="PRW104" s="450"/>
      <c r="PRX104" s="450"/>
      <c r="PRY104" s="450"/>
      <c r="PRZ104" s="450"/>
      <c r="PSA104" s="450"/>
      <c r="PSB104" s="450"/>
      <c r="PSC104" s="450"/>
      <c r="PSD104" s="450"/>
      <c r="PSE104" s="450"/>
      <c r="PSF104" s="450"/>
      <c r="PSG104" s="450"/>
      <c r="PSH104" s="450"/>
      <c r="PSI104" s="450"/>
      <c r="PSJ104" s="450"/>
      <c r="PSK104" s="450"/>
      <c r="PSL104" s="450"/>
      <c r="PSM104" s="450"/>
      <c r="PSN104" s="450"/>
      <c r="PSO104" s="450"/>
      <c r="PSP104" s="450"/>
      <c r="PSQ104" s="450"/>
      <c r="PSR104" s="450"/>
      <c r="PSS104" s="450"/>
      <c r="PST104" s="450"/>
      <c r="PSU104" s="450"/>
      <c r="PSV104" s="450"/>
      <c r="PSW104" s="450"/>
      <c r="PSX104" s="450"/>
      <c r="PSY104" s="450"/>
      <c r="PSZ104" s="450"/>
      <c r="PTA104" s="450"/>
      <c r="PTB104" s="450"/>
      <c r="PTC104" s="450"/>
      <c r="PTD104" s="450"/>
      <c r="PTE104" s="450"/>
      <c r="PTF104" s="450"/>
      <c r="PTG104" s="450"/>
      <c r="PTH104" s="450"/>
      <c r="PTI104" s="450"/>
      <c r="PTJ104" s="450"/>
      <c r="PTK104" s="450"/>
      <c r="PTL104" s="450"/>
      <c r="PTM104" s="450"/>
      <c r="PTN104" s="450"/>
      <c r="PTO104" s="450"/>
      <c r="PTP104" s="450"/>
      <c r="PTQ104" s="450"/>
      <c r="PTR104" s="450"/>
      <c r="PTS104" s="450"/>
      <c r="PTT104" s="450"/>
      <c r="PTU104" s="450"/>
      <c r="PTV104" s="450"/>
      <c r="PTW104" s="450"/>
      <c r="PTX104" s="450"/>
      <c r="PTY104" s="450"/>
      <c r="PTZ104" s="450"/>
      <c r="PUA104" s="450"/>
      <c r="PUB104" s="450"/>
      <c r="PUC104" s="450"/>
      <c r="PUD104" s="450"/>
      <c r="PUE104" s="450"/>
      <c r="PUF104" s="450"/>
      <c r="PUG104" s="450"/>
      <c r="PUH104" s="450"/>
      <c r="PUI104" s="450"/>
      <c r="PUJ104" s="450"/>
      <c r="PUK104" s="450"/>
      <c r="PUL104" s="450"/>
      <c r="PUM104" s="450"/>
      <c r="PUN104" s="450"/>
      <c r="PUO104" s="450"/>
      <c r="PUP104" s="450"/>
      <c r="PUQ104" s="450"/>
      <c r="PUR104" s="450"/>
      <c r="PUS104" s="450"/>
      <c r="PUT104" s="450"/>
      <c r="PUU104" s="450"/>
      <c r="PUV104" s="450"/>
      <c r="PUW104" s="450"/>
      <c r="PUX104" s="450"/>
      <c r="PUY104" s="450"/>
      <c r="PUZ104" s="450"/>
      <c r="PVA104" s="450"/>
      <c r="PVB104" s="450"/>
      <c r="PVC104" s="450"/>
      <c r="PVD104" s="450"/>
      <c r="PVE104" s="450"/>
      <c r="PVF104" s="450"/>
      <c r="PVG104" s="450"/>
      <c r="PVH104" s="450"/>
      <c r="PVI104" s="450"/>
      <c r="PVJ104" s="450"/>
      <c r="PVK104" s="450"/>
      <c r="PVL104" s="450"/>
      <c r="PVM104" s="450"/>
      <c r="PVN104" s="450"/>
      <c r="PVO104" s="450"/>
      <c r="PVP104" s="450"/>
      <c r="PVQ104" s="450"/>
      <c r="PVR104" s="450"/>
      <c r="PVS104" s="450"/>
      <c r="PVT104" s="450"/>
      <c r="PVU104" s="450"/>
      <c r="PVV104" s="450"/>
      <c r="PVW104" s="450"/>
      <c r="PVX104" s="450"/>
      <c r="PVY104" s="450"/>
      <c r="PVZ104" s="450"/>
      <c r="PWA104" s="450"/>
      <c r="PWB104" s="450"/>
      <c r="PWC104" s="450"/>
      <c r="PWD104" s="450"/>
      <c r="PWE104" s="450"/>
      <c r="PWF104" s="450"/>
      <c r="PWG104" s="450"/>
      <c r="PWH104" s="450"/>
      <c r="PWI104" s="450"/>
      <c r="PWJ104" s="450"/>
      <c r="PWK104" s="450"/>
      <c r="PWL104" s="450"/>
      <c r="PWM104" s="450"/>
      <c r="PWN104" s="450"/>
      <c r="PWO104" s="450"/>
      <c r="PWP104" s="450"/>
      <c r="PWQ104" s="450"/>
      <c r="PWR104" s="450"/>
      <c r="PWS104" s="450"/>
      <c r="PWT104" s="450"/>
      <c r="PWU104" s="450"/>
      <c r="PWV104" s="450"/>
      <c r="PWW104" s="450"/>
      <c r="PWX104" s="450"/>
      <c r="PWY104" s="450"/>
      <c r="PWZ104" s="450"/>
      <c r="PXA104" s="450"/>
      <c r="PXB104" s="450"/>
      <c r="PXC104" s="450"/>
      <c r="PXD104" s="450"/>
      <c r="PXE104" s="450"/>
      <c r="PXF104" s="450"/>
      <c r="PXG104" s="450"/>
      <c r="PXH104" s="450"/>
      <c r="PXI104" s="450"/>
      <c r="PXJ104" s="450"/>
      <c r="PXK104" s="450"/>
      <c r="PXL104" s="450"/>
      <c r="PXM104" s="450"/>
      <c r="PXN104" s="450"/>
      <c r="PXO104" s="450"/>
      <c r="PXP104" s="450"/>
      <c r="PXQ104" s="450"/>
      <c r="PXR104" s="450"/>
      <c r="PXS104" s="450"/>
      <c r="PXT104" s="450"/>
      <c r="PXU104" s="450"/>
      <c r="PXV104" s="450"/>
      <c r="PXW104" s="450"/>
      <c r="PXX104" s="450"/>
      <c r="PXY104" s="450"/>
      <c r="PXZ104" s="450"/>
      <c r="PYA104" s="450"/>
      <c r="PYB104" s="450"/>
      <c r="PYC104" s="450"/>
      <c r="PYD104" s="450"/>
      <c r="PYE104" s="450"/>
      <c r="PYF104" s="450"/>
      <c r="PYG104" s="450"/>
      <c r="PYH104" s="450"/>
      <c r="PYI104" s="450"/>
      <c r="PYJ104" s="450"/>
      <c r="PYK104" s="450"/>
      <c r="PYL104" s="450"/>
      <c r="PYM104" s="450"/>
      <c r="PYN104" s="450"/>
      <c r="PYO104" s="450"/>
      <c r="PYP104" s="450"/>
      <c r="PYQ104" s="450"/>
      <c r="PYR104" s="450"/>
      <c r="PYS104" s="450"/>
      <c r="PYT104" s="450"/>
      <c r="PYU104" s="450"/>
      <c r="PYV104" s="450"/>
      <c r="PYW104" s="450"/>
      <c r="PYX104" s="450"/>
      <c r="PYY104" s="450"/>
      <c r="PYZ104" s="450"/>
      <c r="PZA104" s="450"/>
      <c r="PZB104" s="450"/>
      <c r="PZC104" s="450"/>
      <c r="PZD104" s="450"/>
      <c r="PZE104" s="450"/>
      <c r="PZF104" s="450"/>
      <c r="PZG104" s="450"/>
      <c r="PZH104" s="450"/>
      <c r="PZI104" s="450"/>
      <c r="PZJ104" s="450"/>
      <c r="PZK104" s="450"/>
      <c r="PZL104" s="450"/>
      <c r="PZM104" s="450"/>
      <c r="PZN104" s="450"/>
      <c r="PZO104" s="450"/>
      <c r="PZP104" s="450"/>
      <c r="PZQ104" s="450"/>
      <c r="PZR104" s="450"/>
      <c r="PZS104" s="450"/>
      <c r="PZT104" s="450"/>
      <c r="PZU104" s="450"/>
      <c r="PZV104" s="450"/>
      <c r="PZW104" s="450"/>
      <c r="PZX104" s="450"/>
      <c r="PZY104" s="450"/>
      <c r="PZZ104" s="450"/>
      <c r="QAA104" s="450"/>
      <c r="QAB104" s="450"/>
      <c r="QAC104" s="450"/>
      <c r="QAD104" s="450"/>
      <c r="QAE104" s="450"/>
      <c r="QAF104" s="450"/>
      <c r="QAG104" s="450"/>
      <c r="QAH104" s="450"/>
      <c r="QAI104" s="450"/>
      <c r="QAJ104" s="450"/>
      <c r="QAK104" s="450"/>
      <c r="QAL104" s="450"/>
      <c r="QAM104" s="450"/>
      <c r="QAN104" s="450"/>
      <c r="QAO104" s="450"/>
      <c r="QAP104" s="450"/>
      <c r="QAQ104" s="450"/>
      <c r="QAR104" s="450"/>
      <c r="QAS104" s="450"/>
      <c r="QAT104" s="450"/>
      <c r="QAU104" s="450"/>
      <c r="QAV104" s="450"/>
      <c r="QAW104" s="450"/>
      <c r="QAX104" s="450"/>
      <c r="QAY104" s="450"/>
      <c r="QAZ104" s="450"/>
      <c r="QBA104" s="450"/>
      <c r="QBB104" s="450"/>
      <c r="QBC104" s="450"/>
      <c r="QBD104" s="450"/>
      <c r="QBE104" s="450"/>
      <c r="QBF104" s="450"/>
      <c r="QBG104" s="450"/>
      <c r="QBH104" s="450"/>
      <c r="QBI104" s="450"/>
      <c r="QBJ104" s="450"/>
      <c r="QBK104" s="450"/>
      <c r="QBL104" s="450"/>
      <c r="QBM104" s="450"/>
      <c r="QBN104" s="450"/>
      <c r="QBO104" s="450"/>
      <c r="QBP104" s="450"/>
      <c r="QBQ104" s="450"/>
      <c r="QBR104" s="450"/>
      <c r="QBS104" s="450"/>
      <c r="QBT104" s="450"/>
      <c r="QBU104" s="450"/>
      <c r="QBV104" s="450"/>
      <c r="QBW104" s="450"/>
      <c r="QBX104" s="450"/>
      <c r="QBY104" s="450"/>
      <c r="QBZ104" s="450"/>
      <c r="QCA104" s="450"/>
      <c r="QCB104" s="450"/>
      <c r="QCC104" s="450"/>
      <c r="QCD104" s="450"/>
      <c r="QCE104" s="450"/>
      <c r="QCF104" s="450"/>
      <c r="QCG104" s="450"/>
      <c r="QCH104" s="450"/>
      <c r="QCI104" s="450"/>
      <c r="QCJ104" s="450"/>
      <c r="QCK104" s="450"/>
      <c r="QCL104" s="450"/>
      <c r="QCM104" s="450"/>
      <c r="QCN104" s="450"/>
      <c r="QCO104" s="450"/>
      <c r="QCP104" s="450"/>
      <c r="QCQ104" s="450"/>
      <c r="QCR104" s="450"/>
      <c r="QCS104" s="450"/>
      <c r="QCT104" s="450"/>
      <c r="QCU104" s="450"/>
      <c r="QCV104" s="450"/>
      <c r="QCW104" s="450"/>
      <c r="QCX104" s="450"/>
      <c r="QCY104" s="450"/>
      <c r="QCZ104" s="450"/>
      <c r="QDA104" s="450"/>
      <c r="QDB104" s="450"/>
      <c r="QDC104" s="450"/>
      <c r="QDD104" s="450"/>
      <c r="QDE104" s="450"/>
      <c r="QDF104" s="450"/>
      <c r="QDG104" s="450"/>
      <c r="QDH104" s="450"/>
      <c r="QDI104" s="450"/>
      <c r="QDJ104" s="450"/>
      <c r="QDK104" s="450"/>
      <c r="QDL104" s="450"/>
      <c r="QDM104" s="450"/>
      <c r="QDN104" s="450"/>
      <c r="QDO104" s="450"/>
      <c r="QDP104" s="450"/>
      <c r="QDQ104" s="450"/>
      <c r="QDR104" s="450"/>
      <c r="QDS104" s="450"/>
      <c r="QDT104" s="450"/>
      <c r="QDU104" s="450"/>
      <c r="QDV104" s="450"/>
      <c r="QDW104" s="450"/>
      <c r="QDX104" s="450"/>
      <c r="QDY104" s="450"/>
      <c r="QDZ104" s="450"/>
      <c r="QEA104" s="450"/>
      <c r="QEB104" s="450"/>
      <c r="QEC104" s="450"/>
      <c r="QED104" s="450"/>
      <c r="QEE104" s="450"/>
      <c r="QEF104" s="450"/>
      <c r="QEG104" s="450"/>
      <c r="QEH104" s="450"/>
      <c r="QEI104" s="450"/>
      <c r="QEJ104" s="450"/>
      <c r="QEK104" s="450"/>
      <c r="QEL104" s="450"/>
      <c r="QEM104" s="450"/>
      <c r="QEN104" s="450"/>
      <c r="QEO104" s="450"/>
      <c r="QEP104" s="450"/>
      <c r="QEQ104" s="450"/>
      <c r="QER104" s="450"/>
      <c r="QES104" s="450"/>
      <c r="QET104" s="450"/>
      <c r="QEU104" s="450"/>
      <c r="QEV104" s="450"/>
      <c r="QEW104" s="450"/>
      <c r="QEX104" s="450"/>
      <c r="QEY104" s="450"/>
      <c r="QEZ104" s="450"/>
      <c r="QFA104" s="450"/>
      <c r="QFB104" s="450"/>
      <c r="QFC104" s="450"/>
      <c r="QFD104" s="450"/>
      <c r="QFE104" s="450"/>
      <c r="QFF104" s="450"/>
      <c r="QFG104" s="450"/>
      <c r="QFH104" s="450"/>
      <c r="QFI104" s="450"/>
      <c r="QFJ104" s="450"/>
      <c r="QFK104" s="450"/>
      <c r="QFL104" s="450"/>
      <c r="QFM104" s="450"/>
      <c r="QFN104" s="450"/>
      <c r="QFO104" s="450"/>
      <c r="QFP104" s="450"/>
      <c r="QFQ104" s="450"/>
      <c r="QFR104" s="450"/>
      <c r="QFS104" s="450"/>
      <c r="QFT104" s="450"/>
      <c r="QFU104" s="450"/>
      <c r="QFV104" s="450"/>
      <c r="QFW104" s="450"/>
      <c r="QFX104" s="450"/>
      <c r="QFY104" s="450"/>
      <c r="QFZ104" s="450"/>
      <c r="QGA104" s="450"/>
      <c r="QGB104" s="450"/>
      <c r="QGC104" s="450"/>
      <c r="QGD104" s="450"/>
      <c r="QGE104" s="450"/>
      <c r="QGF104" s="450"/>
      <c r="QGG104" s="450"/>
      <c r="QGH104" s="450"/>
      <c r="QGI104" s="450"/>
      <c r="QGJ104" s="450"/>
      <c r="QGK104" s="450"/>
      <c r="QGL104" s="450"/>
      <c r="QGM104" s="450"/>
      <c r="QGN104" s="450"/>
      <c r="QGO104" s="450"/>
      <c r="QGP104" s="450"/>
      <c r="QGQ104" s="450"/>
      <c r="QGR104" s="450"/>
      <c r="QGS104" s="450"/>
      <c r="QGT104" s="450"/>
      <c r="QGU104" s="450"/>
      <c r="QGV104" s="450"/>
      <c r="QGW104" s="450"/>
      <c r="QGX104" s="450"/>
      <c r="QGY104" s="450"/>
      <c r="QGZ104" s="450"/>
      <c r="QHA104" s="450"/>
      <c r="QHB104" s="450"/>
      <c r="QHC104" s="450"/>
      <c r="QHD104" s="450"/>
      <c r="QHE104" s="450"/>
      <c r="QHF104" s="450"/>
      <c r="QHG104" s="450"/>
      <c r="QHH104" s="450"/>
      <c r="QHI104" s="450"/>
      <c r="QHJ104" s="450"/>
      <c r="QHK104" s="450"/>
      <c r="QHL104" s="450"/>
      <c r="QHM104" s="450"/>
      <c r="QHN104" s="450"/>
      <c r="QHO104" s="450"/>
      <c r="QHP104" s="450"/>
      <c r="QHQ104" s="450"/>
      <c r="QHR104" s="450"/>
      <c r="QHS104" s="450"/>
      <c r="QHT104" s="450"/>
      <c r="QHU104" s="450"/>
      <c r="QHV104" s="450"/>
      <c r="QHW104" s="450"/>
      <c r="QHX104" s="450"/>
      <c r="QHY104" s="450"/>
      <c r="QHZ104" s="450"/>
      <c r="QIA104" s="450"/>
      <c r="QIB104" s="450"/>
      <c r="QIC104" s="450"/>
      <c r="QID104" s="450"/>
      <c r="QIE104" s="450"/>
      <c r="QIF104" s="450"/>
      <c r="QIG104" s="450"/>
      <c r="QIH104" s="450"/>
      <c r="QII104" s="450"/>
      <c r="QIJ104" s="450"/>
      <c r="QIK104" s="450"/>
      <c r="QIL104" s="450"/>
      <c r="QIM104" s="450"/>
      <c r="QIN104" s="450"/>
      <c r="QIO104" s="450"/>
      <c r="QIP104" s="450"/>
      <c r="QIQ104" s="450"/>
      <c r="QIR104" s="450"/>
      <c r="QIS104" s="450"/>
      <c r="QIT104" s="450"/>
      <c r="QIU104" s="450"/>
      <c r="QIV104" s="450"/>
      <c r="QIW104" s="450"/>
      <c r="QIX104" s="450"/>
      <c r="QIY104" s="450"/>
      <c r="QIZ104" s="450"/>
      <c r="QJA104" s="450"/>
      <c r="QJB104" s="450"/>
      <c r="QJC104" s="450"/>
      <c r="QJD104" s="450"/>
      <c r="QJE104" s="450"/>
      <c r="QJF104" s="450"/>
      <c r="QJG104" s="450"/>
      <c r="QJH104" s="450"/>
      <c r="QJI104" s="450"/>
      <c r="QJJ104" s="450"/>
      <c r="QJK104" s="450"/>
      <c r="QJL104" s="450"/>
      <c r="QJM104" s="450"/>
      <c r="QJN104" s="450"/>
      <c r="QJO104" s="450"/>
      <c r="QJP104" s="450"/>
      <c r="QJQ104" s="450"/>
      <c r="QJR104" s="450"/>
      <c r="QJS104" s="450"/>
      <c r="QJT104" s="450"/>
      <c r="QJU104" s="450"/>
      <c r="QJV104" s="450"/>
      <c r="QJW104" s="450"/>
      <c r="QJX104" s="450"/>
      <c r="QJY104" s="450"/>
      <c r="QJZ104" s="450"/>
      <c r="QKA104" s="450"/>
      <c r="QKB104" s="450"/>
      <c r="QKC104" s="450"/>
      <c r="QKD104" s="450"/>
      <c r="QKE104" s="450"/>
      <c r="QKF104" s="450"/>
      <c r="QKG104" s="450"/>
      <c r="QKH104" s="450"/>
      <c r="QKI104" s="450"/>
      <c r="QKJ104" s="450"/>
      <c r="QKK104" s="450"/>
      <c r="QKL104" s="450"/>
      <c r="QKM104" s="450"/>
      <c r="QKN104" s="450"/>
      <c r="QKO104" s="450"/>
      <c r="QKP104" s="450"/>
      <c r="QKQ104" s="450"/>
      <c r="QKR104" s="450"/>
      <c r="QKS104" s="450"/>
      <c r="QKT104" s="450"/>
      <c r="QKU104" s="450"/>
      <c r="QKV104" s="450"/>
      <c r="QKW104" s="450"/>
      <c r="QKX104" s="450"/>
      <c r="QKY104" s="450"/>
      <c r="QKZ104" s="450"/>
      <c r="QLA104" s="450"/>
      <c r="QLB104" s="450"/>
      <c r="QLC104" s="450"/>
      <c r="QLD104" s="450"/>
      <c r="QLE104" s="450"/>
      <c r="QLF104" s="450"/>
      <c r="QLG104" s="450"/>
      <c r="QLH104" s="450"/>
      <c r="QLI104" s="450"/>
      <c r="QLJ104" s="450"/>
      <c r="QLK104" s="450"/>
      <c r="QLL104" s="450"/>
      <c r="QLM104" s="450"/>
      <c r="QLN104" s="450"/>
      <c r="QLO104" s="450"/>
      <c r="QLP104" s="450"/>
      <c r="QLQ104" s="450"/>
      <c r="QLR104" s="450"/>
      <c r="QLS104" s="450"/>
      <c r="QLT104" s="450"/>
      <c r="QLU104" s="450"/>
      <c r="QLV104" s="450"/>
      <c r="QLW104" s="450"/>
      <c r="QLX104" s="450"/>
      <c r="QLY104" s="450"/>
      <c r="QLZ104" s="450"/>
      <c r="QMA104" s="450"/>
      <c r="QMB104" s="450"/>
      <c r="QMC104" s="450"/>
      <c r="QMD104" s="450"/>
      <c r="QME104" s="450"/>
      <c r="QMF104" s="450"/>
      <c r="QMG104" s="450"/>
      <c r="QMH104" s="450"/>
      <c r="QMI104" s="450"/>
      <c r="QMJ104" s="450"/>
      <c r="QMK104" s="450"/>
      <c r="QML104" s="450"/>
      <c r="QMM104" s="450"/>
      <c r="QMN104" s="450"/>
      <c r="QMO104" s="450"/>
      <c r="QMP104" s="450"/>
      <c r="QMQ104" s="450"/>
      <c r="QMR104" s="450"/>
      <c r="QMS104" s="450"/>
      <c r="QMT104" s="450"/>
      <c r="QMU104" s="450"/>
      <c r="QMV104" s="450"/>
      <c r="QMW104" s="450"/>
      <c r="QMX104" s="450"/>
      <c r="QMY104" s="450"/>
      <c r="QMZ104" s="450"/>
      <c r="QNA104" s="450"/>
      <c r="QNB104" s="450"/>
      <c r="QNC104" s="450"/>
      <c r="QND104" s="450"/>
      <c r="QNE104" s="450"/>
      <c r="QNF104" s="450"/>
      <c r="QNG104" s="450"/>
      <c r="QNH104" s="450"/>
      <c r="QNI104" s="450"/>
      <c r="QNJ104" s="450"/>
      <c r="QNK104" s="450"/>
      <c r="QNL104" s="450"/>
      <c r="QNM104" s="450"/>
      <c r="QNN104" s="450"/>
      <c r="QNO104" s="450"/>
      <c r="QNP104" s="450"/>
      <c r="QNQ104" s="450"/>
      <c r="QNR104" s="450"/>
      <c r="QNS104" s="450"/>
      <c r="QNT104" s="450"/>
      <c r="QNU104" s="450"/>
      <c r="QNV104" s="450"/>
      <c r="QNW104" s="450"/>
      <c r="QNX104" s="450"/>
      <c r="QNY104" s="450"/>
      <c r="QNZ104" s="450"/>
      <c r="QOA104" s="450"/>
      <c r="QOB104" s="450"/>
      <c r="QOC104" s="450"/>
      <c r="QOD104" s="450"/>
      <c r="QOE104" s="450"/>
      <c r="QOF104" s="450"/>
      <c r="QOG104" s="450"/>
      <c r="QOH104" s="450"/>
      <c r="QOI104" s="450"/>
      <c r="QOJ104" s="450"/>
      <c r="QOK104" s="450"/>
      <c r="QOL104" s="450"/>
      <c r="QOM104" s="450"/>
      <c r="QON104" s="450"/>
      <c r="QOO104" s="450"/>
      <c r="QOP104" s="450"/>
      <c r="QOQ104" s="450"/>
      <c r="QOR104" s="450"/>
      <c r="QOS104" s="450"/>
      <c r="QOT104" s="450"/>
      <c r="QOU104" s="450"/>
      <c r="QOV104" s="450"/>
      <c r="QOW104" s="450"/>
      <c r="QOX104" s="450"/>
      <c r="QOY104" s="450"/>
      <c r="QOZ104" s="450"/>
      <c r="QPA104" s="450"/>
      <c r="QPB104" s="450"/>
      <c r="QPC104" s="450"/>
      <c r="QPD104" s="450"/>
      <c r="QPE104" s="450"/>
      <c r="QPF104" s="450"/>
      <c r="QPG104" s="450"/>
      <c r="QPH104" s="450"/>
      <c r="QPI104" s="450"/>
      <c r="QPJ104" s="450"/>
      <c r="QPK104" s="450"/>
      <c r="QPL104" s="450"/>
      <c r="QPM104" s="450"/>
      <c r="QPN104" s="450"/>
      <c r="QPO104" s="450"/>
      <c r="QPP104" s="450"/>
      <c r="QPQ104" s="450"/>
      <c r="QPR104" s="450"/>
      <c r="QPS104" s="450"/>
      <c r="QPT104" s="450"/>
      <c r="QPU104" s="450"/>
      <c r="QPV104" s="450"/>
      <c r="QPW104" s="450"/>
      <c r="QPX104" s="450"/>
      <c r="QPY104" s="450"/>
      <c r="QPZ104" s="450"/>
      <c r="QQA104" s="450"/>
      <c r="QQB104" s="450"/>
      <c r="QQC104" s="450"/>
      <c r="QQD104" s="450"/>
      <c r="QQE104" s="450"/>
      <c r="QQF104" s="450"/>
      <c r="QQG104" s="450"/>
      <c r="QQH104" s="450"/>
      <c r="QQI104" s="450"/>
      <c r="QQJ104" s="450"/>
      <c r="QQK104" s="450"/>
      <c r="QQL104" s="450"/>
      <c r="QQM104" s="450"/>
      <c r="QQN104" s="450"/>
      <c r="QQO104" s="450"/>
      <c r="QQP104" s="450"/>
      <c r="QQQ104" s="450"/>
      <c r="QQR104" s="450"/>
      <c r="QQS104" s="450"/>
      <c r="QQT104" s="450"/>
      <c r="QQU104" s="450"/>
      <c r="QQV104" s="450"/>
      <c r="QQW104" s="450"/>
      <c r="QQX104" s="450"/>
      <c r="QQY104" s="450"/>
      <c r="QQZ104" s="450"/>
      <c r="QRA104" s="450"/>
      <c r="QRB104" s="450"/>
      <c r="QRC104" s="450"/>
      <c r="QRD104" s="450"/>
      <c r="QRE104" s="450"/>
      <c r="QRF104" s="450"/>
      <c r="QRG104" s="450"/>
      <c r="QRH104" s="450"/>
      <c r="QRI104" s="450"/>
      <c r="QRJ104" s="450"/>
      <c r="QRK104" s="450"/>
      <c r="QRL104" s="450"/>
      <c r="QRM104" s="450"/>
      <c r="QRN104" s="450"/>
      <c r="QRO104" s="450"/>
      <c r="QRP104" s="450"/>
      <c r="QRQ104" s="450"/>
      <c r="QRR104" s="450"/>
      <c r="QRS104" s="450"/>
      <c r="QRT104" s="450"/>
      <c r="QRU104" s="450"/>
      <c r="QRV104" s="450"/>
      <c r="QRW104" s="450"/>
      <c r="QRX104" s="450"/>
      <c r="QRY104" s="450"/>
      <c r="QRZ104" s="450"/>
      <c r="QSA104" s="450"/>
      <c r="QSB104" s="450"/>
      <c r="QSC104" s="450"/>
      <c r="QSD104" s="450"/>
      <c r="QSE104" s="450"/>
      <c r="QSF104" s="450"/>
      <c r="QSG104" s="450"/>
      <c r="QSH104" s="450"/>
      <c r="QSI104" s="450"/>
      <c r="QSJ104" s="450"/>
      <c r="QSK104" s="450"/>
      <c r="QSL104" s="450"/>
      <c r="QSM104" s="450"/>
      <c r="QSN104" s="450"/>
      <c r="QSO104" s="450"/>
      <c r="QSP104" s="450"/>
      <c r="QSQ104" s="450"/>
      <c r="QSR104" s="450"/>
      <c r="QSS104" s="450"/>
      <c r="QST104" s="450"/>
      <c r="QSU104" s="450"/>
      <c r="QSV104" s="450"/>
      <c r="QSW104" s="450"/>
      <c r="QSX104" s="450"/>
      <c r="QSY104" s="450"/>
      <c r="QSZ104" s="450"/>
      <c r="QTA104" s="450"/>
      <c r="QTB104" s="450"/>
      <c r="QTC104" s="450"/>
      <c r="QTD104" s="450"/>
      <c r="QTE104" s="450"/>
      <c r="QTF104" s="450"/>
      <c r="QTG104" s="450"/>
      <c r="QTH104" s="450"/>
      <c r="QTI104" s="450"/>
      <c r="QTJ104" s="450"/>
      <c r="QTK104" s="450"/>
      <c r="QTL104" s="450"/>
      <c r="QTM104" s="450"/>
      <c r="QTN104" s="450"/>
      <c r="QTO104" s="450"/>
      <c r="QTP104" s="450"/>
      <c r="QTQ104" s="450"/>
      <c r="QTR104" s="450"/>
      <c r="QTS104" s="450"/>
      <c r="QTT104" s="450"/>
      <c r="QTU104" s="450"/>
      <c r="QTV104" s="450"/>
      <c r="QTW104" s="450"/>
      <c r="QTX104" s="450"/>
      <c r="QTY104" s="450"/>
      <c r="QTZ104" s="450"/>
      <c r="QUA104" s="450"/>
      <c r="QUB104" s="450"/>
      <c r="QUC104" s="450"/>
      <c r="QUD104" s="450"/>
      <c r="QUE104" s="450"/>
      <c r="QUF104" s="450"/>
      <c r="QUG104" s="450"/>
      <c r="QUH104" s="450"/>
      <c r="QUI104" s="450"/>
      <c r="QUJ104" s="450"/>
      <c r="QUK104" s="450"/>
      <c r="QUL104" s="450"/>
      <c r="QUM104" s="450"/>
      <c r="QUN104" s="450"/>
      <c r="QUO104" s="450"/>
      <c r="QUP104" s="450"/>
      <c r="QUQ104" s="450"/>
      <c r="QUR104" s="450"/>
      <c r="QUS104" s="450"/>
      <c r="QUT104" s="450"/>
      <c r="QUU104" s="450"/>
      <c r="QUV104" s="450"/>
      <c r="QUW104" s="450"/>
      <c r="QUX104" s="450"/>
      <c r="QUY104" s="450"/>
      <c r="QUZ104" s="450"/>
      <c r="QVA104" s="450"/>
      <c r="QVB104" s="450"/>
      <c r="QVC104" s="450"/>
      <c r="QVD104" s="450"/>
      <c r="QVE104" s="450"/>
      <c r="QVF104" s="450"/>
      <c r="QVG104" s="450"/>
      <c r="QVH104" s="450"/>
      <c r="QVI104" s="450"/>
      <c r="QVJ104" s="450"/>
      <c r="QVK104" s="450"/>
      <c r="QVL104" s="450"/>
      <c r="QVM104" s="450"/>
      <c r="QVN104" s="450"/>
      <c r="QVO104" s="450"/>
      <c r="QVP104" s="450"/>
      <c r="QVQ104" s="450"/>
      <c r="QVR104" s="450"/>
      <c r="QVS104" s="450"/>
      <c r="QVT104" s="450"/>
      <c r="QVU104" s="450"/>
      <c r="QVV104" s="450"/>
      <c r="QVW104" s="450"/>
      <c r="QVX104" s="450"/>
      <c r="QVY104" s="450"/>
      <c r="QVZ104" s="450"/>
      <c r="QWA104" s="450"/>
      <c r="QWB104" s="450"/>
      <c r="QWC104" s="450"/>
      <c r="QWD104" s="450"/>
      <c r="QWE104" s="450"/>
      <c r="QWF104" s="450"/>
      <c r="QWG104" s="450"/>
      <c r="QWH104" s="450"/>
      <c r="QWI104" s="450"/>
      <c r="QWJ104" s="450"/>
      <c r="QWK104" s="450"/>
      <c r="QWL104" s="450"/>
      <c r="QWM104" s="450"/>
      <c r="QWN104" s="450"/>
      <c r="QWO104" s="450"/>
      <c r="QWP104" s="450"/>
      <c r="QWQ104" s="450"/>
      <c r="QWR104" s="450"/>
      <c r="QWS104" s="450"/>
      <c r="QWT104" s="450"/>
      <c r="QWU104" s="450"/>
      <c r="QWV104" s="450"/>
      <c r="QWW104" s="450"/>
      <c r="QWX104" s="450"/>
      <c r="QWY104" s="450"/>
      <c r="QWZ104" s="450"/>
      <c r="QXA104" s="450"/>
      <c r="QXB104" s="450"/>
      <c r="QXC104" s="450"/>
      <c r="QXD104" s="450"/>
      <c r="QXE104" s="450"/>
      <c r="QXF104" s="450"/>
      <c r="QXG104" s="450"/>
      <c r="QXH104" s="450"/>
      <c r="QXI104" s="450"/>
      <c r="QXJ104" s="450"/>
      <c r="QXK104" s="450"/>
      <c r="QXL104" s="450"/>
      <c r="QXM104" s="450"/>
      <c r="QXN104" s="450"/>
      <c r="QXO104" s="450"/>
      <c r="QXP104" s="450"/>
      <c r="QXQ104" s="450"/>
      <c r="QXR104" s="450"/>
      <c r="QXS104" s="450"/>
      <c r="QXT104" s="450"/>
      <c r="QXU104" s="450"/>
      <c r="QXV104" s="450"/>
      <c r="QXW104" s="450"/>
      <c r="QXX104" s="450"/>
      <c r="QXY104" s="450"/>
      <c r="QXZ104" s="450"/>
      <c r="QYA104" s="450"/>
      <c r="QYB104" s="450"/>
      <c r="QYC104" s="450"/>
      <c r="QYD104" s="450"/>
      <c r="QYE104" s="450"/>
      <c r="QYF104" s="450"/>
      <c r="QYG104" s="450"/>
      <c r="QYH104" s="450"/>
      <c r="QYI104" s="450"/>
      <c r="QYJ104" s="450"/>
      <c r="QYK104" s="450"/>
      <c r="QYL104" s="450"/>
      <c r="QYM104" s="450"/>
      <c r="QYN104" s="450"/>
      <c r="QYO104" s="450"/>
      <c r="QYP104" s="450"/>
      <c r="QYQ104" s="450"/>
      <c r="QYR104" s="450"/>
      <c r="QYS104" s="450"/>
      <c r="QYT104" s="450"/>
      <c r="QYU104" s="450"/>
      <c r="QYV104" s="450"/>
      <c r="QYW104" s="450"/>
      <c r="QYX104" s="450"/>
      <c r="QYY104" s="450"/>
      <c r="QYZ104" s="450"/>
      <c r="QZA104" s="450"/>
      <c r="QZB104" s="450"/>
      <c r="QZC104" s="450"/>
      <c r="QZD104" s="450"/>
      <c r="QZE104" s="450"/>
      <c r="QZF104" s="450"/>
      <c r="QZG104" s="450"/>
      <c r="QZH104" s="450"/>
      <c r="QZI104" s="450"/>
      <c r="QZJ104" s="450"/>
      <c r="QZK104" s="450"/>
      <c r="QZL104" s="450"/>
      <c r="QZM104" s="450"/>
      <c r="QZN104" s="450"/>
      <c r="QZO104" s="450"/>
      <c r="QZP104" s="450"/>
      <c r="QZQ104" s="450"/>
      <c r="QZR104" s="450"/>
      <c r="QZS104" s="450"/>
      <c r="QZT104" s="450"/>
      <c r="QZU104" s="450"/>
      <c r="QZV104" s="450"/>
      <c r="QZW104" s="450"/>
      <c r="QZX104" s="450"/>
      <c r="QZY104" s="450"/>
      <c r="QZZ104" s="450"/>
      <c r="RAA104" s="450"/>
      <c r="RAB104" s="450"/>
      <c r="RAC104" s="450"/>
      <c r="RAD104" s="450"/>
      <c r="RAE104" s="450"/>
      <c r="RAF104" s="450"/>
      <c r="RAG104" s="450"/>
      <c r="RAH104" s="450"/>
      <c r="RAI104" s="450"/>
      <c r="RAJ104" s="450"/>
      <c r="RAK104" s="450"/>
      <c r="RAL104" s="450"/>
      <c r="RAM104" s="450"/>
      <c r="RAN104" s="450"/>
      <c r="RAO104" s="450"/>
      <c r="RAP104" s="450"/>
      <c r="RAQ104" s="450"/>
      <c r="RAR104" s="450"/>
      <c r="RAS104" s="450"/>
      <c r="RAT104" s="450"/>
      <c r="RAU104" s="450"/>
      <c r="RAV104" s="450"/>
      <c r="RAW104" s="450"/>
      <c r="RAX104" s="450"/>
      <c r="RAY104" s="450"/>
      <c r="RAZ104" s="450"/>
      <c r="RBA104" s="450"/>
      <c r="RBB104" s="450"/>
      <c r="RBC104" s="450"/>
      <c r="RBD104" s="450"/>
      <c r="RBE104" s="450"/>
      <c r="RBF104" s="450"/>
      <c r="RBG104" s="450"/>
      <c r="RBH104" s="450"/>
      <c r="RBI104" s="450"/>
      <c r="RBJ104" s="450"/>
      <c r="RBK104" s="450"/>
      <c r="RBL104" s="450"/>
      <c r="RBM104" s="450"/>
      <c r="RBN104" s="450"/>
      <c r="RBO104" s="450"/>
      <c r="RBP104" s="450"/>
      <c r="RBQ104" s="450"/>
      <c r="RBR104" s="450"/>
      <c r="RBS104" s="450"/>
      <c r="RBT104" s="450"/>
      <c r="RBU104" s="450"/>
      <c r="RBV104" s="450"/>
      <c r="RBW104" s="450"/>
      <c r="RBX104" s="450"/>
      <c r="RBY104" s="450"/>
      <c r="RBZ104" s="450"/>
      <c r="RCA104" s="450"/>
      <c r="RCB104" s="450"/>
      <c r="RCC104" s="450"/>
      <c r="RCD104" s="450"/>
      <c r="RCE104" s="450"/>
      <c r="RCF104" s="450"/>
      <c r="RCG104" s="450"/>
      <c r="RCH104" s="450"/>
      <c r="RCI104" s="450"/>
      <c r="RCJ104" s="450"/>
      <c r="RCK104" s="450"/>
      <c r="RCL104" s="450"/>
      <c r="RCM104" s="450"/>
      <c r="RCN104" s="450"/>
      <c r="RCO104" s="450"/>
      <c r="RCP104" s="450"/>
      <c r="RCQ104" s="450"/>
      <c r="RCR104" s="450"/>
      <c r="RCS104" s="450"/>
      <c r="RCT104" s="450"/>
      <c r="RCU104" s="450"/>
      <c r="RCV104" s="450"/>
      <c r="RCW104" s="450"/>
      <c r="RCX104" s="450"/>
      <c r="RCY104" s="450"/>
      <c r="RCZ104" s="450"/>
      <c r="RDA104" s="450"/>
      <c r="RDB104" s="450"/>
      <c r="RDC104" s="450"/>
      <c r="RDD104" s="450"/>
      <c r="RDE104" s="450"/>
      <c r="RDF104" s="450"/>
      <c r="RDG104" s="450"/>
      <c r="RDH104" s="450"/>
      <c r="RDI104" s="450"/>
      <c r="RDJ104" s="450"/>
      <c r="RDK104" s="450"/>
      <c r="RDL104" s="450"/>
      <c r="RDM104" s="450"/>
      <c r="RDN104" s="450"/>
      <c r="RDO104" s="450"/>
      <c r="RDP104" s="450"/>
      <c r="RDQ104" s="450"/>
      <c r="RDR104" s="450"/>
      <c r="RDS104" s="450"/>
      <c r="RDT104" s="450"/>
      <c r="RDU104" s="450"/>
      <c r="RDV104" s="450"/>
      <c r="RDW104" s="450"/>
      <c r="RDX104" s="450"/>
      <c r="RDY104" s="450"/>
      <c r="RDZ104" s="450"/>
      <c r="REA104" s="450"/>
      <c r="REB104" s="450"/>
      <c r="REC104" s="450"/>
      <c r="RED104" s="450"/>
      <c r="REE104" s="450"/>
      <c r="REF104" s="450"/>
      <c r="REG104" s="450"/>
      <c r="REH104" s="450"/>
      <c r="REI104" s="450"/>
      <c r="REJ104" s="450"/>
      <c r="REK104" s="450"/>
      <c r="REL104" s="450"/>
      <c r="REM104" s="450"/>
      <c r="REN104" s="450"/>
      <c r="REO104" s="450"/>
      <c r="REP104" s="450"/>
      <c r="REQ104" s="450"/>
      <c r="RER104" s="450"/>
      <c r="RES104" s="450"/>
      <c r="RET104" s="450"/>
      <c r="REU104" s="450"/>
      <c r="REV104" s="450"/>
      <c r="REW104" s="450"/>
      <c r="REX104" s="450"/>
      <c r="REY104" s="450"/>
      <c r="REZ104" s="450"/>
      <c r="RFA104" s="450"/>
      <c r="RFB104" s="450"/>
      <c r="RFC104" s="450"/>
      <c r="RFD104" s="450"/>
      <c r="RFE104" s="450"/>
      <c r="RFF104" s="450"/>
      <c r="RFG104" s="450"/>
      <c r="RFH104" s="450"/>
      <c r="RFI104" s="450"/>
      <c r="RFJ104" s="450"/>
      <c r="RFK104" s="450"/>
      <c r="RFL104" s="450"/>
      <c r="RFM104" s="450"/>
      <c r="RFN104" s="450"/>
      <c r="RFO104" s="450"/>
      <c r="RFP104" s="450"/>
      <c r="RFQ104" s="450"/>
      <c r="RFR104" s="450"/>
      <c r="RFS104" s="450"/>
      <c r="RFT104" s="450"/>
      <c r="RFU104" s="450"/>
      <c r="RFV104" s="450"/>
      <c r="RFW104" s="450"/>
      <c r="RFX104" s="450"/>
      <c r="RFY104" s="450"/>
      <c r="RFZ104" s="450"/>
      <c r="RGA104" s="450"/>
      <c r="RGB104" s="450"/>
      <c r="RGC104" s="450"/>
      <c r="RGD104" s="450"/>
      <c r="RGE104" s="450"/>
      <c r="RGF104" s="450"/>
      <c r="RGG104" s="450"/>
      <c r="RGH104" s="450"/>
      <c r="RGI104" s="450"/>
      <c r="RGJ104" s="450"/>
      <c r="RGK104" s="450"/>
      <c r="RGL104" s="450"/>
      <c r="RGM104" s="450"/>
      <c r="RGN104" s="450"/>
      <c r="RGO104" s="450"/>
      <c r="RGP104" s="450"/>
      <c r="RGQ104" s="450"/>
      <c r="RGR104" s="450"/>
      <c r="RGS104" s="450"/>
      <c r="RGT104" s="450"/>
      <c r="RGU104" s="450"/>
      <c r="RGV104" s="450"/>
      <c r="RGW104" s="450"/>
      <c r="RGX104" s="450"/>
      <c r="RGY104" s="450"/>
      <c r="RGZ104" s="450"/>
      <c r="RHA104" s="450"/>
      <c r="RHB104" s="450"/>
      <c r="RHC104" s="450"/>
      <c r="RHD104" s="450"/>
      <c r="RHE104" s="450"/>
      <c r="RHF104" s="450"/>
      <c r="RHG104" s="450"/>
      <c r="RHH104" s="450"/>
      <c r="RHI104" s="450"/>
      <c r="RHJ104" s="450"/>
      <c r="RHK104" s="450"/>
      <c r="RHL104" s="450"/>
      <c r="RHM104" s="450"/>
      <c r="RHN104" s="450"/>
      <c r="RHO104" s="450"/>
      <c r="RHP104" s="450"/>
      <c r="RHQ104" s="450"/>
      <c r="RHR104" s="450"/>
      <c r="RHS104" s="450"/>
      <c r="RHT104" s="450"/>
      <c r="RHU104" s="450"/>
      <c r="RHV104" s="450"/>
      <c r="RHW104" s="450"/>
      <c r="RHX104" s="450"/>
      <c r="RHY104" s="450"/>
      <c r="RHZ104" s="450"/>
      <c r="RIA104" s="450"/>
      <c r="RIB104" s="450"/>
      <c r="RIC104" s="450"/>
      <c r="RID104" s="450"/>
      <c r="RIE104" s="450"/>
      <c r="RIF104" s="450"/>
      <c r="RIG104" s="450"/>
      <c r="RIH104" s="450"/>
      <c r="RII104" s="450"/>
      <c r="RIJ104" s="450"/>
      <c r="RIK104" s="450"/>
      <c r="RIL104" s="450"/>
      <c r="RIM104" s="450"/>
      <c r="RIN104" s="450"/>
      <c r="RIO104" s="450"/>
      <c r="RIP104" s="450"/>
      <c r="RIQ104" s="450"/>
      <c r="RIR104" s="450"/>
      <c r="RIS104" s="450"/>
      <c r="RIT104" s="450"/>
      <c r="RIU104" s="450"/>
      <c r="RIV104" s="450"/>
      <c r="RIW104" s="450"/>
      <c r="RIX104" s="450"/>
      <c r="RIY104" s="450"/>
      <c r="RIZ104" s="450"/>
      <c r="RJA104" s="450"/>
      <c r="RJB104" s="450"/>
      <c r="RJC104" s="450"/>
      <c r="RJD104" s="450"/>
      <c r="RJE104" s="450"/>
      <c r="RJF104" s="450"/>
      <c r="RJG104" s="450"/>
      <c r="RJH104" s="450"/>
      <c r="RJI104" s="450"/>
      <c r="RJJ104" s="450"/>
      <c r="RJK104" s="450"/>
      <c r="RJL104" s="450"/>
      <c r="RJM104" s="450"/>
      <c r="RJN104" s="450"/>
      <c r="RJO104" s="450"/>
      <c r="RJP104" s="450"/>
      <c r="RJQ104" s="450"/>
      <c r="RJR104" s="450"/>
      <c r="RJS104" s="450"/>
      <c r="RJT104" s="450"/>
      <c r="RJU104" s="450"/>
      <c r="RJV104" s="450"/>
      <c r="RJW104" s="450"/>
      <c r="RJX104" s="450"/>
      <c r="RJY104" s="450"/>
      <c r="RJZ104" s="450"/>
      <c r="RKA104" s="450"/>
      <c r="RKB104" s="450"/>
      <c r="RKC104" s="450"/>
      <c r="RKD104" s="450"/>
      <c r="RKE104" s="450"/>
      <c r="RKF104" s="450"/>
      <c r="RKG104" s="450"/>
      <c r="RKH104" s="450"/>
      <c r="RKI104" s="450"/>
      <c r="RKJ104" s="450"/>
      <c r="RKK104" s="450"/>
      <c r="RKL104" s="450"/>
      <c r="RKM104" s="450"/>
      <c r="RKN104" s="450"/>
      <c r="RKO104" s="450"/>
      <c r="RKP104" s="450"/>
      <c r="RKQ104" s="450"/>
      <c r="RKR104" s="450"/>
      <c r="RKS104" s="450"/>
      <c r="RKT104" s="450"/>
      <c r="RKU104" s="450"/>
      <c r="RKV104" s="450"/>
      <c r="RKW104" s="450"/>
      <c r="RKX104" s="450"/>
      <c r="RKY104" s="450"/>
      <c r="RKZ104" s="450"/>
      <c r="RLA104" s="450"/>
      <c r="RLB104" s="450"/>
      <c r="RLC104" s="450"/>
      <c r="RLD104" s="450"/>
      <c r="RLE104" s="450"/>
      <c r="RLF104" s="450"/>
      <c r="RLG104" s="450"/>
      <c r="RLH104" s="450"/>
      <c r="RLI104" s="450"/>
      <c r="RLJ104" s="450"/>
      <c r="RLK104" s="450"/>
      <c r="RLL104" s="450"/>
      <c r="RLM104" s="450"/>
      <c r="RLN104" s="450"/>
      <c r="RLO104" s="450"/>
      <c r="RLP104" s="450"/>
      <c r="RLQ104" s="450"/>
      <c r="RLR104" s="450"/>
      <c r="RLS104" s="450"/>
      <c r="RLT104" s="450"/>
      <c r="RLU104" s="450"/>
      <c r="RLV104" s="450"/>
      <c r="RLW104" s="450"/>
      <c r="RLX104" s="450"/>
      <c r="RLY104" s="450"/>
      <c r="RLZ104" s="450"/>
      <c r="RMA104" s="450"/>
      <c r="RMB104" s="450"/>
      <c r="RMC104" s="450"/>
      <c r="RMD104" s="450"/>
      <c r="RME104" s="450"/>
      <c r="RMF104" s="450"/>
      <c r="RMG104" s="450"/>
      <c r="RMH104" s="450"/>
      <c r="RMI104" s="450"/>
      <c r="RMJ104" s="450"/>
      <c r="RMK104" s="450"/>
      <c r="RML104" s="450"/>
      <c r="RMM104" s="450"/>
      <c r="RMN104" s="450"/>
      <c r="RMO104" s="450"/>
      <c r="RMP104" s="450"/>
      <c r="RMQ104" s="450"/>
      <c r="RMR104" s="450"/>
      <c r="RMS104" s="450"/>
      <c r="RMT104" s="450"/>
      <c r="RMU104" s="450"/>
      <c r="RMV104" s="450"/>
      <c r="RMW104" s="450"/>
      <c r="RMX104" s="450"/>
      <c r="RMY104" s="450"/>
      <c r="RMZ104" s="450"/>
      <c r="RNA104" s="450"/>
      <c r="RNB104" s="450"/>
      <c r="RNC104" s="450"/>
      <c r="RND104" s="450"/>
      <c r="RNE104" s="450"/>
      <c r="RNF104" s="450"/>
      <c r="RNG104" s="450"/>
      <c r="RNH104" s="450"/>
      <c r="RNI104" s="450"/>
      <c r="RNJ104" s="450"/>
      <c r="RNK104" s="450"/>
      <c r="RNL104" s="450"/>
      <c r="RNM104" s="450"/>
      <c r="RNN104" s="450"/>
      <c r="RNO104" s="450"/>
      <c r="RNP104" s="450"/>
      <c r="RNQ104" s="450"/>
      <c r="RNR104" s="450"/>
      <c r="RNS104" s="450"/>
      <c r="RNT104" s="450"/>
      <c r="RNU104" s="450"/>
      <c r="RNV104" s="450"/>
      <c r="RNW104" s="450"/>
      <c r="RNX104" s="450"/>
      <c r="RNY104" s="450"/>
      <c r="RNZ104" s="450"/>
      <c r="ROA104" s="450"/>
      <c r="ROB104" s="450"/>
      <c r="ROC104" s="450"/>
      <c r="ROD104" s="450"/>
      <c r="ROE104" s="450"/>
      <c r="ROF104" s="450"/>
      <c r="ROG104" s="450"/>
      <c r="ROH104" s="450"/>
      <c r="ROI104" s="450"/>
      <c r="ROJ104" s="450"/>
      <c r="ROK104" s="450"/>
      <c r="ROL104" s="450"/>
      <c r="ROM104" s="450"/>
      <c r="RON104" s="450"/>
      <c r="ROO104" s="450"/>
      <c r="ROP104" s="450"/>
      <c r="ROQ104" s="450"/>
      <c r="ROR104" s="450"/>
      <c r="ROS104" s="450"/>
      <c r="ROT104" s="450"/>
      <c r="ROU104" s="450"/>
      <c r="ROV104" s="450"/>
      <c r="ROW104" s="450"/>
      <c r="ROX104" s="450"/>
      <c r="ROY104" s="450"/>
      <c r="ROZ104" s="450"/>
      <c r="RPA104" s="450"/>
      <c r="RPB104" s="450"/>
      <c r="RPC104" s="450"/>
      <c r="RPD104" s="450"/>
      <c r="RPE104" s="450"/>
      <c r="RPF104" s="450"/>
      <c r="RPG104" s="450"/>
      <c r="RPH104" s="450"/>
      <c r="RPI104" s="450"/>
      <c r="RPJ104" s="450"/>
      <c r="RPK104" s="450"/>
      <c r="RPL104" s="450"/>
      <c r="RPM104" s="450"/>
      <c r="RPN104" s="450"/>
      <c r="RPO104" s="450"/>
      <c r="RPP104" s="450"/>
      <c r="RPQ104" s="450"/>
      <c r="RPR104" s="450"/>
      <c r="RPS104" s="450"/>
      <c r="RPT104" s="450"/>
      <c r="RPU104" s="450"/>
      <c r="RPV104" s="450"/>
      <c r="RPW104" s="450"/>
      <c r="RPX104" s="450"/>
      <c r="RPY104" s="450"/>
      <c r="RPZ104" s="450"/>
      <c r="RQA104" s="450"/>
      <c r="RQB104" s="450"/>
      <c r="RQC104" s="450"/>
      <c r="RQD104" s="450"/>
      <c r="RQE104" s="450"/>
      <c r="RQF104" s="450"/>
      <c r="RQG104" s="450"/>
      <c r="RQH104" s="450"/>
      <c r="RQI104" s="450"/>
      <c r="RQJ104" s="450"/>
      <c r="RQK104" s="450"/>
      <c r="RQL104" s="450"/>
      <c r="RQM104" s="450"/>
      <c r="RQN104" s="450"/>
      <c r="RQO104" s="450"/>
      <c r="RQP104" s="450"/>
      <c r="RQQ104" s="450"/>
      <c r="RQR104" s="450"/>
      <c r="RQS104" s="450"/>
      <c r="RQT104" s="450"/>
      <c r="RQU104" s="450"/>
      <c r="RQV104" s="450"/>
      <c r="RQW104" s="450"/>
      <c r="RQX104" s="450"/>
      <c r="RQY104" s="450"/>
      <c r="RQZ104" s="450"/>
      <c r="RRA104" s="450"/>
      <c r="RRB104" s="450"/>
      <c r="RRC104" s="450"/>
      <c r="RRD104" s="450"/>
      <c r="RRE104" s="450"/>
      <c r="RRF104" s="450"/>
      <c r="RRG104" s="450"/>
      <c r="RRH104" s="450"/>
      <c r="RRI104" s="450"/>
      <c r="RRJ104" s="450"/>
      <c r="RRK104" s="450"/>
      <c r="RRL104" s="450"/>
      <c r="RRM104" s="450"/>
      <c r="RRN104" s="450"/>
      <c r="RRO104" s="450"/>
      <c r="RRP104" s="450"/>
      <c r="RRQ104" s="450"/>
      <c r="RRR104" s="450"/>
      <c r="RRS104" s="450"/>
      <c r="RRT104" s="450"/>
      <c r="RRU104" s="450"/>
      <c r="RRV104" s="450"/>
      <c r="RRW104" s="450"/>
      <c r="RRX104" s="450"/>
      <c r="RRY104" s="450"/>
      <c r="RRZ104" s="450"/>
      <c r="RSA104" s="450"/>
      <c r="RSB104" s="450"/>
      <c r="RSC104" s="450"/>
      <c r="RSD104" s="450"/>
      <c r="RSE104" s="450"/>
      <c r="RSF104" s="450"/>
      <c r="RSG104" s="450"/>
      <c r="RSH104" s="450"/>
      <c r="RSI104" s="450"/>
      <c r="RSJ104" s="450"/>
      <c r="RSK104" s="450"/>
      <c r="RSL104" s="450"/>
      <c r="RSM104" s="450"/>
      <c r="RSN104" s="450"/>
      <c r="RSO104" s="450"/>
      <c r="RSP104" s="450"/>
      <c r="RSQ104" s="450"/>
      <c r="RSR104" s="450"/>
      <c r="RSS104" s="450"/>
      <c r="RST104" s="450"/>
      <c r="RSU104" s="450"/>
      <c r="RSV104" s="450"/>
      <c r="RSW104" s="450"/>
      <c r="RSX104" s="450"/>
      <c r="RSY104" s="450"/>
      <c r="RSZ104" s="450"/>
      <c r="RTA104" s="450"/>
      <c r="RTB104" s="450"/>
      <c r="RTC104" s="450"/>
      <c r="RTD104" s="450"/>
      <c r="RTE104" s="450"/>
      <c r="RTF104" s="450"/>
      <c r="RTG104" s="450"/>
      <c r="RTH104" s="450"/>
      <c r="RTI104" s="450"/>
      <c r="RTJ104" s="450"/>
      <c r="RTK104" s="450"/>
      <c r="RTL104" s="450"/>
      <c r="RTM104" s="450"/>
      <c r="RTN104" s="450"/>
      <c r="RTO104" s="450"/>
      <c r="RTP104" s="450"/>
      <c r="RTQ104" s="450"/>
      <c r="RTR104" s="450"/>
      <c r="RTS104" s="450"/>
      <c r="RTT104" s="450"/>
      <c r="RTU104" s="450"/>
      <c r="RTV104" s="450"/>
      <c r="RTW104" s="450"/>
      <c r="RTX104" s="450"/>
      <c r="RTY104" s="450"/>
      <c r="RTZ104" s="450"/>
      <c r="RUA104" s="450"/>
      <c r="RUB104" s="450"/>
      <c r="RUC104" s="450"/>
      <c r="RUD104" s="450"/>
      <c r="RUE104" s="450"/>
      <c r="RUF104" s="450"/>
      <c r="RUG104" s="450"/>
      <c r="RUH104" s="450"/>
      <c r="RUI104" s="450"/>
      <c r="RUJ104" s="450"/>
      <c r="RUK104" s="450"/>
      <c r="RUL104" s="450"/>
      <c r="RUM104" s="450"/>
      <c r="RUN104" s="450"/>
      <c r="RUO104" s="450"/>
      <c r="RUP104" s="450"/>
      <c r="RUQ104" s="450"/>
      <c r="RUR104" s="450"/>
      <c r="RUS104" s="450"/>
      <c r="RUT104" s="450"/>
      <c r="RUU104" s="450"/>
      <c r="RUV104" s="450"/>
      <c r="RUW104" s="450"/>
      <c r="RUX104" s="450"/>
      <c r="RUY104" s="450"/>
      <c r="RUZ104" s="450"/>
      <c r="RVA104" s="450"/>
      <c r="RVB104" s="450"/>
      <c r="RVC104" s="450"/>
      <c r="RVD104" s="450"/>
      <c r="RVE104" s="450"/>
      <c r="RVF104" s="450"/>
      <c r="RVG104" s="450"/>
      <c r="RVH104" s="450"/>
      <c r="RVI104" s="450"/>
      <c r="RVJ104" s="450"/>
      <c r="RVK104" s="450"/>
      <c r="RVL104" s="450"/>
      <c r="RVM104" s="450"/>
      <c r="RVN104" s="450"/>
      <c r="RVO104" s="450"/>
      <c r="RVP104" s="450"/>
      <c r="RVQ104" s="450"/>
      <c r="RVR104" s="450"/>
      <c r="RVS104" s="450"/>
      <c r="RVT104" s="450"/>
      <c r="RVU104" s="450"/>
      <c r="RVV104" s="450"/>
      <c r="RVW104" s="450"/>
      <c r="RVX104" s="450"/>
      <c r="RVY104" s="450"/>
      <c r="RVZ104" s="450"/>
      <c r="RWA104" s="450"/>
      <c r="RWB104" s="450"/>
      <c r="RWC104" s="450"/>
      <c r="RWD104" s="450"/>
      <c r="RWE104" s="450"/>
      <c r="RWF104" s="450"/>
      <c r="RWG104" s="450"/>
      <c r="RWH104" s="450"/>
      <c r="RWI104" s="450"/>
      <c r="RWJ104" s="450"/>
      <c r="RWK104" s="450"/>
      <c r="RWL104" s="450"/>
      <c r="RWM104" s="450"/>
      <c r="RWN104" s="450"/>
      <c r="RWO104" s="450"/>
      <c r="RWP104" s="450"/>
      <c r="RWQ104" s="450"/>
      <c r="RWR104" s="450"/>
      <c r="RWS104" s="450"/>
      <c r="RWT104" s="450"/>
      <c r="RWU104" s="450"/>
      <c r="RWV104" s="450"/>
      <c r="RWW104" s="450"/>
      <c r="RWX104" s="450"/>
      <c r="RWY104" s="450"/>
      <c r="RWZ104" s="450"/>
      <c r="RXA104" s="450"/>
      <c r="RXB104" s="450"/>
      <c r="RXC104" s="450"/>
      <c r="RXD104" s="450"/>
      <c r="RXE104" s="450"/>
      <c r="RXF104" s="450"/>
      <c r="RXG104" s="450"/>
      <c r="RXH104" s="450"/>
      <c r="RXI104" s="450"/>
      <c r="RXJ104" s="450"/>
      <c r="RXK104" s="450"/>
      <c r="RXL104" s="450"/>
      <c r="RXM104" s="450"/>
      <c r="RXN104" s="450"/>
      <c r="RXO104" s="450"/>
      <c r="RXP104" s="450"/>
      <c r="RXQ104" s="450"/>
      <c r="RXR104" s="450"/>
      <c r="RXS104" s="450"/>
      <c r="RXT104" s="450"/>
      <c r="RXU104" s="450"/>
      <c r="RXV104" s="450"/>
      <c r="RXW104" s="450"/>
      <c r="RXX104" s="450"/>
      <c r="RXY104" s="450"/>
      <c r="RXZ104" s="450"/>
      <c r="RYA104" s="450"/>
      <c r="RYB104" s="450"/>
      <c r="RYC104" s="450"/>
      <c r="RYD104" s="450"/>
      <c r="RYE104" s="450"/>
      <c r="RYF104" s="450"/>
      <c r="RYG104" s="450"/>
      <c r="RYH104" s="450"/>
      <c r="RYI104" s="450"/>
      <c r="RYJ104" s="450"/>
      <c r="RYK104" s="450"/>
      <c r="RYL104" s="450"/>
      <c r="RYM104" s="450"/>
      <c r="RYN104" s="450"/>
      <c r="RYO104" s="450"/>
      <c r="RYP104" s="450"/>
      <c r="RYQ104" s="450"/>
      <c r="RYR104" s="450"/>
      <c r="RYS104" s="450"/>
      <c r="RYT104" s="450"/>
      <c r="RYU104" s="450"/>
      <c r="RYV104" s="450"/>
      <c r="RYW104" s="450"/>
      <c r="RYX104" s="450"/>
      <c r="RYY104" s="450"/>
      <c r="RYZ104" s="450"/>
      <c r="RZA104" s="450"/>
      <c r="RZB104" s="450"/>
      <c r="RZC104" s="450"/>
      <c r="RZD104" s="450"/>
      <c r="RZE104" s="450"/>
      <c r="RZF104" s="450"/>
      <c r="RZG104" s="450"/>
      <c r="RZH104" s="450"/>
      <c r="RZI104" s="450"/>
      <c r="RZJ104" s="450"/>
      <c r="RZK104" s="450"/>
      <c r="RZL104" s="450"/>
      <c r="RZM104" s="450"/>
      <c r="RZN104" s="450"/>
      <c r="RZO104" s="450"/>
      <c r="RZP104" s="450"/>
      <c r="RZQ104" s="450"/>
      <c r="RZR104" s="450"/>
      <c r="RZS104" s="450"/>
      <c r="RZT104" s="450"/>
      <c r="RZU104" s="450"/>
      <c r="RZV104" s="450"/>
      <c r="RZW104" s="450"/>
      <c r="RZX104" s="450"/>
      <c r="RZY104" s="450"/>
      <c r="RZZ104" s="450"/>
      <c r="SAA104" s="450"/>
      <c r="SAB104" s="450"/>
      <c r="SAC104" s="450"/>
      <c r="SAD104" s="450"/>
      <c r="SAE104" s="450"/>
      <c r="SAF104" s="450"/>
      <c r="SAG104" s="450"/>
      <c r="SAH104" s="450"/>
      <c r="SAI104" s="450"/>
      <c r="SAJ104" s="450"/>
      <c r="SAK104" s="450"/>
      <c r="SAL104" s="450"/>
      <c r="SAM104" s="450"/>
      <c r="SAN104" s="450"/>
      <c r="SAO104" s="450"/>
      <c r="SAP104" s="450"/>
      <c r="SAQ104" s="450"/>
      <c r="SAR104" s="450"/>
      <c r="SAS104" s="450"/>
      <c r="SAT104" s="450"/>
      <c r="SAU104" s="450"/>
      <c r="SAV104" s="450"/>
      <c r="SAW104" s="450"/>
      <c r="SAX104" s="450"/>
      <c r="SAY104" s="450"/>
      <c r="SAZ104" s="450"/>
      <c r="SBA104" s="450"/>
      <c r="SBB104" s="450"/>
      <c r="SBC104" s="450"/>
      <c r="SBD104" s="450"/>
      <c r="SBE104" s="450"/>
      <c r="SBF104" s="450"/>
      <c r="SBG104" s="450"/>
      <c r="SBH104" s="450"/>
      <c r="SBI104" s="450"/>
      <c r="SBJ104" s="450"/>
      <c r="SBK104" s="450"/>
      <c r="SBL104" s="450"/>
      <c r="SBM104" s="450"/>
      <c r="SBN104" s="450"/>
      <c r="SBO104" s="450"/>
      <c r="SBP104" s="450"/>
      <c r="SBQ104" s="450"/>
      <c r="SBR104" s="450"/>
      <c r="SBS104" s="450"/>
      <c r="SBT104" s="450"/>
      <c r="SBU104" s="450"/>
      <c r="SBV104" s="450"/>
      <c r="SBW104" s="450"/>
      <c r="SBX104" s="450"/>
      <c r="SBY104" s="450"/>
      <c r="SBZ104" s="450"/>
      <c r="SCA104" s="450"/>
      <c r="SCB104" s="450"/>
      <c r="SCC104" s="450"/>
      <c r="SCD104" s="450"/>
      <c r="SCE104" s="450"/>
      <c r="SCF104" s="450"/>
      <c r="SCG104" s="450"/>
      <c r="SCH104" s="450"/>
      <c r="SCI104" s="450"/>
      <c r="SCJ104" s="450"/>
      <c r="SCK104" s="450"/>
      <c r="SCL104" s="450"/>
      <c r="SCM104" s="450"/>
      <c r="SCN104" s="450"/>
      <c r="SCO104" s="450"/>
      <c r="SCP104" s="450"/>
      <c r="SCQ104" s="450"/>
      <c r="SCR104" s="450"/>
      <c r="SCS104" s="450"/>
      <c r="SCT104" s="450"/>
      <c r="SCU104" s="450"/>
      <c r="SCV104" s="450"/>
      <c r="SCW104" s="450"/>
      <c r="SCX104" s="450"/>
      <c r="SCY104" s="450"/>
      <c r="SCZ104" s="450"/>
      <c r="SDA104" s="450"/>
      <c r="SDB104" s="450"/>
      <c r="SDC104" s="450"/>
      <c r="SDD104" s="450"/>
      <c r="SDE104" s="450"/>
      <c r="SDF104" s="450"/>
      <c r="SDG104" s="450"/>
      <c r="SDH104" s="450"/>
      <c r="SDI104" s="450"/>
      <c r="SDJ104" s="450"/>
      <c r="SDK104" s="450"/>
      <c r="SDL104" s="450"/>
      <c r="SDM104" s="450"/>
      <c r="SDN104" s="450"/>
      <c r="SDO104" s="450"/>
      <c r="SDP104" s="450"/>
      <c r="SDQ104" s="450"/>
      <c r="SDR104" s="450"/>
      <c r="SDS104" s="450"/>
      <c r="SDT104" s="450"/>
      <c r="SDU104" s="450"/>
      <c r="SDV104" s="450"/>
      <c r="SDW104" s="450"/>
      <c r="SDX104" s="450"/>
      <c r="SDY104" s="450"/>
      <c r="SDZ104" s="450"/>
      <c r="SEA104" s="450"/>
      <c r="SEB104" s="450"/>
      <c r="SEC104" s="450"/>
      <c r="SED104" s="450"/>
      <c r="SEE104" s="450"/>
      <c r="SEF104" s="450"/>
      <c r="SEG104" s="450"/>
      <c r="SEH104" s="450"/>
      <c r="SEI104" s="450"/>
      <c r="SEJ104" s="450"/>
      <c r="SEK104" s="450"/>
      <c r="SEL104" s="450"/>
      <c r="SEM104" s="450"/>
      <c r="SEN104" s="450"/>
      <c r="SEO104" s="450"/>
      <c r="SEP104" s="450"/>
      <c r="SEQ104" s="450"/>
      <c r="SER104" s="450"/>
      <c r="SES104" s="450"/>
      <c r="SET104" s="450"/>
      <c r="SEU104" s="450"/>
      <c r="SEV104" s="450"/>
      <c r="SEW104" s="450"/>
      <c r="SEX104" s="450"/>
      <c r="SEY104" s="450"/>
      <c r="SEZ104" s="450"/>
      <c r="SFA104" s="450"/>
      <c r="SFB104" s="450"/>
      <c r="SFC104" s="450"/>
      <c r="SFD104" s="450"/>
      <c r="SFE104" s="450"/>
      <c r="SFF104" s="450"/>
      <c r="SFG104" s="450"/>
      <c r="SFH104" s="450"/>
      <c r="SFI104" s="450"/>
      <c r="SFJ104" s="450"/>
      <c r="SFK104" s="450"/>
      <c r="SFL104" s="450"/>
      <c r="SFM104" s="450"/>
      <c r="SFN104" s="450"/>
      <c r="SFO104" s="450"/>
      <c r="SFP104" s="450"/>
      <c r="SFQ104" s="450"/>
      <c r="SFR104" s="450"/>
      <c r="SFS104" s="450"/>
      <c r="SFT104" s="450"/>
      <c r="SFU104" s="450"/>
      <c r="SFV104" s="450"/>
      <c r="SFW104" s="450"/>
      <c r="SFX104" s="450"/>
      <c r="SFY104" s="450"/>
      <c r="SFZ104" s="450"/>
      <c r="SGA104" s="450"/>
      <c r="SGB104" s="450"/>
      <c r="SGC104" s="450"/>
      <c r="SGD104" s="450"/>
      <c r="SGE104" s="450"/>
      <c r="SGF104" s="450"/>
      <c r="SGG104" s="450"/>
      <c r="SGH104" s="450"/>
      <c r="SGI104" s="450"/>
      <c r="SGJ104" s="450"/>
      <c r="SGK104" s="450"/>
      <c r="SGL104" s="450"/>
      <c r="SGM104" s="450"/>
      <c r="SGN104" s="450"/>
      <c r="SGO104" s="450"/>
      <c r="SGP104" s="450"/>
      <c r="SGQ104" s="450"/>
      <c r="SGR104" s="450"/>
      <c r="SGS104" s="450"/>
      <c r="SGT104" s="450"/>
      <c r="SGU104" s="450"/>
      <c r="SGV104" s="450"/>
      <c r="SGW104" s="450"/>
      <c r="SGX104" s="450"/>
      <c r="SGY104" s="450"/>
      <c r="SGZ104" s="450"/>
      <c r="SHA104" s="450"/>
      <c r="SHB104" s="450"/>
      <c r="SHC104" s="450"/>
      <c r="SHD104" s="450"/>
      <c r="SHE104" s="450"/>
      <c r="SHF104" s="450"/>
      <c r="SHG104" s="450"/>
      <c r="SHH104" s="450"/>
      <c r="SHI104" s="450"/>
      <c r="SHJ104" s="450"/>
      <c r="SHK104" s="450"/>
      <c r="SHL104" s="450"/>
      <c r="SHM104" s="450"/>
      <c r="SHN104" s="450"/>
      <c r="SHO104" s="450"/>
      <c r="SHP104" s="450"/>
      <c r="SHQ104" s="450"/>
      <c r="SHR104" s="450"/>
      <c r="SHS104" s="450"/>
      <c r="SHT104" s="450"/>
      <c r="SHU104" s="450"/>
      <c r="SHV104" s="450"/>
      <c r="SHW104" s="450"/>
      <c r="SHX104" s="450"/>
      <c r="SHY104" s="450"/>
      <c r="SHZ104" s="450"/>
      <c r="SIA104" s="450"/>
      <c r="SIB104" s="450"/>
      <c r="SIC104" s="450"/>
      <c r="SID104" s="450"/>
      <c r="SIE104" s="450"/>
      <c r="SIF104" s="450"/>
      <c r="SIG104" s="450"/>
      <c r="SIH104" s="450"/>
      <c r="SII104" s="450"/>
      <c r="SIJ104" s="450"/>
      <c r="SIK104" s="450"/>
      <c r="SIL104" s="450"/>
      <c r="SIM104" s="450"/>
      <c r="SIN104" s="450"/>
      <c r="SIO104" s="450"/>
      <c r="SIP104" s="450"/>
      <c r="SIQ104" s="450"/>
      <c r="SIR104" s="450"/>
      <c r="SIS104" s="450"/>
      <c r="SIT104" s="450"/>
      <c r="SIU104" s="450"/>
      <c r="SIV104" s="450"/>
      <c r="SIW104" s="450"/>
      <c r="SIX104" s="450"/>
      <c r="SIY104" s="450"/>
      <c r="SIZ104" s="450"/>
      <c r="SJA104" s="450"/>
      <c r="SJB104" s="450"/>
      <c r="SJC104" s="450"/>
      <c r="SJD104" s="450"/>
      <c r="SJE104" s="450"/>
      <c r="SJF104" s="450"/>
      <c r="SJG104" s="450"/>
      <c r="SJH104" s="450"/>
      <c r="SJI104" s="450"/>
      <c r="SJJ104" s="450"/>
      <c r="SJK104" s="450"/>
      <c r="SJL104" s="450"/>
      <c r="SJM104" s="450"/>
      <c r="SJN104" s="450"/>
      <c r="SJO104" s="450"/>
      <c r="SJP104" s="450"/>
      <c r="SJQ104" s="450"/>
      <c r="SJR104" s="450"/>
      <c r="SJS104" s="450"/>
      <c r="SJT104" s="450"/>
      <c r="SJU104" s="450"/>
      <c r="SJV104" s="450"/>
      <c r="SJW104" s="450"/>
      <c r="SJX104" s="450"/>
      <c r="SJY104" s="450"/>
      <c r="SJZ104" s="450"/>
      <c r="SKA104" s="450"/>
      <c r="SKB104" s="450"/>
      <c r="SKC104" s="450"/>
      <c r="SKD104" s="450"/>
      <c r="SKE104" s="450"/>
      <c r="SKF104" s="450"/>
      <c r="SKG104" s="450"/>
      <c r="SKH104" s="450"/>
      <c r="SKI104" s="450"/>
      <c r="SKJ104" s="450"/>
      <c r="SKK104" s="450"/>
      <c r="SKL104" s="450"/>
      <c r="SKM104" s="450"/>
      <c r="SKN104" s="450"/>
      <c r="SKO104" s="450"/>
      <c r="SKP104" s="450"/>
      <c r="SKQ104" s="450"/>
      <c r="SKR104" s="450"/>
      <c r="SKS104" s="450"/>
      <c r="SKT104" s="450"/>
      <c r="SKU104" s="450"/>
      <c r="SKV104" s="450"/>
      <c r="SKW104" s="450"/>
      <c r="SKX104" s="450"/>
      <c r="SKY104" s="450"/>
      <c r="SKZ104" s="450"/>
      <c r="SLA104" s="450"/>
      <c r="SLB104" s="450"/>
      <c r="SLC104" s="450"/>
      <c r="SLD104" s="450"/>
      <c r="SLE104" s="450"/>
      <c r="SLF104" s="450"/>
      <c r="SLG104" s="450"/>
      <c r="SLH104" s="450"/>
      <c r="SLI104" s="450"/>
      <c r="SLJ104" s="450"/>
      <c r="SLK104" s="450"/>
      <c r="SLL104" s="450"/>
      <c r="SLM104" s="450"/>
      <c r="SLN104" s="450"/>
      <c r="SLO104" s="450"/>
      <c r="SLP104" s="450"/>
      <c r="SLQ104" s="450"/>
      <c r="SLR104" s="450"/>
      <c r="SLS104" s="450"/>
      <c r="SLT104" s="450"/>
      <c r="SLU104" s="450"/>
      <c r="SLV104" s="450"/>
      <c r="SLW104" s="450"/>
      <c r="SLX104" s="450"/>
      <c r="SLY104" s="450"/>
      <c r="SLZ104" s="450"/>
      <c r="SMA104" s="450"/>
      <c r="SMB104" s="450"/>
      <c r="SMC104" s="450"/>
      <c r="SMD104" s="450"/>
      <c r="SME104" s="450"/>
      <c r="SMF104" s="450"/>
      <c r="SMG104" s="450"/>
      <c r="SMH104" s="450"/>
      <c r="SMI104" s="450"/>
      <c r="SMJ104" s="450"/>
      <c r="SMK104" s="450"/>
      <c r="SML104" s="450"/>
      <c r="SMM104" s="450"/>
      <c r="SMN104" s="450"/>
      <c r="SMO104" s="450"/>
      <c r="SMP104" s="450"/>
      <c r="SMQ104" s="450"/>
      <c r="SMR104" s="450"/>
      <c r="SMS104" s="450"/>
      <c r="SMT104" s="450"/>
      <c r="SMU104" s="450"/>
      <c r="SMV104" s="450"/>
      <c r="SMW104" s="450"/>
      <c r="SMX104" s="450"/>
      <c r="SMY104" s="450"/>
      <c r="SMZ104" s="450"/>
      <c r="SNA104" s="450"/>
      <c r="SNB104" s="450"/>
      <c r="SNC104" s="450"/>
      <c r="SND104" s="450"/>
      <c r="SNE104" s="450"/>
      <c r="SNF104" s="450"/>
      <c r="SNG104" s="450"/>
      <c r="SNH104" s="450"/>
      <c r="SNI104" s="450"/>
      <c r="SNJ104" s="450"/>
      <c r="SNK104" s="450"/>
      <c r="SNL104" s="450"/>
      <c r="SNM104" s="450"/>
      <c r="SNN104" s="450"/>
      <c r="SNO104" s="450"/>
      <c r="SNP104" s="450"/>
      <c r="SNQ104" s="450"/>
      <c r="SNR104" s="450"/>
      <c r="SNS104" s="450"/>
      <c r="SNT104" s="450"/>
      <c r="SNU104" s="450"/>
      <c r="SNV104" s="450"/>
      <c r="SNW104" s="450"/>
      <c r="SNX104" s="450"/>
      <c r="SNY104" s="450"/>
      <c r="SNZ104" s="450"/>
      <c r="SOA104" s="450"/>
      <c r="SOB104" s="450"/>
      <c r="SOC104" s="450"/>
      <c r="SOD104" s="450"/>
      <c r="SOE104" s="450"/>
      <c r="SOF104" s="450"/>
      <c r="SOG104" s="450"/>
      <c r="SOH104" s="450"/>
      <c r="SOI104" s="450"/>
      <c r="SOJ104" s="450"/>
      <c r="SOK104" s="450"/>
      <c r="SOL104" s="450"/>
      <c r="SOM104" s="450"/>
      <c r="SON104" s="450"/>
      <c r="SOO104" s="450"/>
      <c r="SOP104" s="450"/>
      <c r="SOQ104" s="450"/>
      <c r="SOR104" s="450"/>
      <c r="SOS104" s="450"/>
      <c r="SOT104" s="450"/>
      <c r="SOU104" s="450"/>
      <c r="SOV104" s="450"/>
      <c r="SOW104" s="450"/>
      <c r="SOX104" s="450"/>
      <c r="SOY104" s="450"/>
      <c r="SOZ104" s="450"/>
      <c r="SPA104" s="450"/>
      <c r="SPB104" s="450"/>
      <c r="SPC104" s="450"/>
      <c r="SPD104" s="450"/>
      <c r="SPE104" s="450"/>
      <c r="SPF104" s="450"/>
      <c r="SPG104" s="450"/>
      <c r="SPH104" s="450"/>
      <c r="SPI104" s="450"/>
      <c r="SPJ104" s="450"/>
      <c r="SPK104" s="450"/>
      <c r="SPL104" s="450"/>
      <c r="SPM104" s="450"/>
      <c r="SPN104" s="450"/>
      <c r="SPO104" s="450"/>
      <c r="SPP104" s="450"/>
      <c r="SPQ104" s="450"/>
      <c r="SPR104" s="450"/>
      <c r="SPS104" s="450"/>
      <c r="SPT104" s="450"/>
      <c r="SPU104" s="450"/>
      <c r="SPV104" s="450"/>
      <c r="SPW104" s="450"/>
      <c r="SPX104" s="450"/>
      <c r="SPY104" s="450"/>
      <c r="SPZ104" s="450"/>
      <c r="SQA104" s="450"/>
      <c r="SQB104" s="450"/>
      <c r="SQC104" s="450"/>
      <c r="SQD104" s="450"/>
      <c r="SQE104" s="450"/>
      <c r="SQF104" s="450"/>
      <c r="SQG104" s="450"/>
      <c r="SQH104" s="450"/>
      <c r="SQI104" s="450"/>
      <c r="SQJ104" s="450"/>
      <c r="SQK104" s="450"/>
      <c r="SQL104" s="450"/>
      <c r="SQM104" s="450"/>
      <c r="SQN104" s="450"/>
      <c r="SQO104" s="450"/>
      <c r="SQP104" s="450"/>
      <c r="SQQ104" s="450"/>
      <c r="SQR104" s="450"/>
      <c r="SQS104" s="450"/>
      <c r="SQT104" s="450"/>
      <c r="SQU104" s="450"/>
      <c r="SQV104" s="450"/>
      <c r="SQW104" s="450"/>
      <c r="SQX104" s="450"/>
      <c r="SQY104" s="450"/>
      <c r="SQZ104" s="450"/>
      <c r="SRA104" s="450"/>
      <c r="SRB104" s="450"/>
      <c r="SRC104" s="450"/>
      <c r="SRD104" s="450"/>
      <c r="SRE104" s="450"/>
      <c r="SRF104" s="450"/>
      <c r="SRG104" s="450"/>
      <c r="SRH104" s="450"/>
      <c r="SRI104" s="450"/>
      <c r="SRJ104" s="450"/>
      <c r="SRK104" s="450"/>
      <c r="SRL104" s="450"/>
      <c r="SRM104" s="450"/>
      <c r="SRN104" s="450"/>
      <c r="SRO104" s="450"/>
      <c r="SRP104" s="450"/>
      <c r="SRQ104" s="450"/>
      <c r="SRR104" s="450"/>
      <c r="SRS104" s="450"/>
      <c r="SRT104" s="450"/>
      <c r="SRU104" s="450"/>
      <c r="SRV104" s="450"/>
      <c r="SRW104" s="450"/>
      <c r="SRX104" s="450"/>
      <c r="SRY104" s="450"/>
      <c r="SRZ104" s="450"/>
      <c r="SSA104" s="450"/>
      <c r="SSB104" s="450"/>
      <c r="SSC104" s="450"/>
      <c r="SSD104" s="450"/>
      <c r="SSE104" s="450"/>
      <c r="SSF104" s="450"/>
      <c r="SSG104" s="450"/>
      <c r="SSH104" s="450"/>
      <c r="SSI104" s="450"/>
      <c r="SSJ104" s="450"/>
      <c r="SSK104" s="450"/>
      <c r="SSL104" s="450"/>
      <c r="SSM104" s="450"/>
      <c r="SSN104" s="450"/>
      <c r="SSO104" s="450"/>
      <c r="SSP104" s="450"/>
      <c r="SSQ104" s="450"/>
      <c r="SSR104" s="450"/>
      <c r="SSS104" s="450"/>
      <c r="SST104" s="450"/>
      <c r="SSU104" s="450"/>
      <c r="SSV104" s="450"/>
      <c r="SSW104" s="450"/>
      <c r="SSX104" s="450"/>
      <c r="SSY104" s="450"/>
      <c r="SSZ104" s="450"/>
      <c r="STA104" s="450"/>
      <c r="STB104" s="450"/>
      <c r="STC104" s="450"/>
      <c r="STD104" s="450"/>
      <c r="STE104" s="450"/>
      <c r="STF104" s="450"/>
      <c r="STG104" s="450"/>
      <c r="STH104" s="450"/>
      <c r="STI104" s="450"/>
      <c r="STJ104" s="450"/>
      <c r="STK104" s="450"/>
      <c r="STL104" s="450"/>
      <c r="STM104" s="450"/>
      <c r="STN104" s="450"/>
      <c r="STO104" s="450"/>
      <c r="STP104" s="450"/>
      <c r="STQ104" s="450"/>
      <c r="STR104" s="450"/>
      <c r="STS104" s="450"/>
      <c r="STT104" s="450"/>
      <c r="STU104" s="450"/>
      <c r="STV104" s="450"/>
      <c r="STW104" s="450"/>
      <c r="STX104" s="450"/>
      <c r="STY104" s="450"/>
      <c r="STZ104" s="450"/>
      <c r="SUA104" s="450"/>
      <c r="SUB104" s="450"/>
      <c r="SUC104" s="450"/>
      <c r="SUD104" s="450"/>
      <c r="SUE104" s="450"/>
      <c r="SUF104" s="450"/>
      <c r="SUG104" s="450"/>
      <c r="SUH104" s="450"/>
      <c r="SUI104" s="450"/>
      <c r="SUJ104" s="450"/>
      <c r="SUK104" s="450"/>
      <c r="SUL104" s="450"/>
      <c r="SUM104" s="450"/>
      <c r="SUN104" s="450"/>
      <c r="SUO104" s="450"/>
      <c r="SUP104" s="450"/>
      <c r="SUQ104" s="450"/>
      <c r="SUR104" s="450"/>
      <c r="SUS104" s="450"/>
      <c r="SUT104" s="450"/>
      <c r="SUU104" s="450"/>
      <c r="SUV104" s="450"/>
      <c r="SUW104" s="450"/>
      <c r="SUX104" s="450"/>
      <c r="SUY104" s="450"/>
      <c r="SUZ104" s="450"/>
      <c r="SVA104" s="450"/>
      <c r="SVB104" s="450"/>
      <c r="SVC104" s="450"/>
      <c r="SVD104" s="450"/>
      <c r="SVE104" s="450"/>
      <c r="SVF104" s="450"/>
      <c r="SVG104" s="450"/>
      <c r="SVH104" s="450"/>
      <c r="SVI104" s="450"/>
      <c r="SVJ104" s="450"/>
      <c r="SVK104" s="450"/>
      <c r="SVL104" s="450"/>
      <c r="SVM104" s="450"/>
      <c r="SVN104" s="450"/>
      <c r="SVO104" s="450"/>
      <c r="SVP104" s="450"/>
      <c r="SVQ104" s="450"/>
      <c r="SVR104" s="450"/>
      <c r="SVS104" s="450"/>
      <c r="SVT104" s="450"/>
      <c r="SVU104" s="450"/>
      <c r="SVV104" s="450"/>
      <c r="SVW104" s="450"/>
      <c r="SVX104" s="450"/>
      <c r="SVY104" s="450"/>
      <c r="SVZ104" s="450"/>
      <c r="SWA104" s="450"/>
      <c r="SWB104" s="450"/>
      <c r="SWC104" s="450"/>
      <c r="SWD104" s="450"/>
      <c r="SWE104" s="450"/>
      <c r="SWF104" s="450"/>
      <c r="SWG104" s="450"/>
      <c r="SWH104" s="450"/>
      <c r="SWI104" s="450"/>
      <c r="SWJ104" s="450"/>
      <c r="SWK104" s="450"/>
      <c r="SWL104" s="450"/>
      <c r="SWM104" s="450"/>
      <c r="SWN104" s="450"/>
      <c r="SWO104" s="450"/>
      <c r="SWP104" s="450"/>
      <c r="SWQ104" s="450"/>
      <c r="SWR104" s="450"/>
      <c r="SWS104" s="450"/>
      <c r="SWT104" s="450"/>
      <c r="SWU104" s="450"/>
      <c r="SWV104" s="450"/>
      <c r="SWW104" s="450"/>
      <c r="SWX104" s="450"/>
      <c r="SWY104" s="450"/>
      <c r="SWZ104" s="450"/>
      <c r="SXA104" s="450"/>
      <c r="SXB104" s="450"/>
      <c r="SXC104" s="450"/>
      <c r="SXD104" s="450"/>
      <c r="SXE104" s="450"/>
      <c r="SXF104" s="450"/>
      <c r="SXG104" s="450"/>
      <c r="SXH104" s="450"/>
      <c r="SXI104" s="450"/>
      <c r="SXJ104" s="450"/>
      <c r="SXK104" s="450"/>
      <c r="SXL104" s="450"/>
      <c r="SXM104" s="450"/>
      <c r="SXN104" s="450"/>
      <c r="SXO104" s="450"/>
      <c r="SXP104" s="450"/>
      <c r="SXQ104" s="450"/>
      <c r="SXR104" s="450"/>
      <c r="SXS104" s="450"/>
      <c r="SXT104" s="450"/>
      <c r="SXU104" s="450"/>
      <c r="SXV104" s="450"/>
      <c r="SXW104" s="450"/>
      <c r="SXX104" s="450"/>
      <c r="SXY104" s="450"/>
      <c r="SXZ104" s="450"/>
      <c r="SYA104" s="450"/>
      <c r="SYB104" s="450"/>
      <c r="SYC104" s="450"/>
      <c r="SYD104" s="450"/>
      <c r="SYE104" s="450"/>
      <c r="SYF104" s="450"/>
      <c r="SYG104" s="450"/>
      <c r="SYH104" s="450"/>
      <c r="SYI104" s="450"/>
      <c r="SYJ104" s="450"/>
      <c r="SYK104" s="450"/>
      <c r="SYL104" s="450"/>
      <c r="SYM104" s="450"/>
      <c r="SYN104" s="450"/>
      <c r="SYO104" s="450"/>
      <c r="SYP104" s="450"/>
      <c r="SYQ104" s="450"/>
      <c r="SYR104" s="450"/>
      <c r="SYS104" s="450"/>
      <c r="SYT104" s="450"/>
      <c r="SYU104" s="450"/>
      <c r="SYV104" s="450"/>
      <c r="SYW104" s="450"/>
      <c r="SYX104" s="450"/>
      <c r="SYY104" s="450"/>
      <c r="SYZ104" s="450"/>
      <c r="SZA104" s="450"/>
      <c r="SZB104" s="450"/>
      <c r="SZC104" s="450"/>
      <c r="SZD104" s="450"/>
      <c r="SZE104" s="450"/>
      <c r="SZF104" s="450"/>
      <c r="SZG104" s="450"/>
      <c r="SZH104" s="450"/>
      <c r="SZI104" s="450"/>
      <c r="SZJ104" s="450"/>
      <c r="SZK104" s="450"/>
      <c r="SZL104" s="450"/>
      <c r="SZM104" s="450"/>
      <c r="SZN104" s="450"/>
      <c r="SZO104" s="450"/>
      <c r="SZP104" s="450"/>
      <c r="SZQ104" s="450"/>
      <c r="SZR104" s="450"/>
      <c r="SZS104" s="450"/>
      <c r="SZT104" s="450"/>
      <c r="SZU104" s="450"/>
      <c r="SZV104" s="450"/>
      <c r="SZW104" s="450"/>
      <c r="SZX104" s="450"/>
      <c r="SZY104" s="450"/>
      <c r="SZZ104" s="450"/>
      <c r="TAA104" s="450"/>
      <c r="TAB104" s="450"/>
      <c r="TAC104" s="450"/>
      <c r="TAD104" s="450"/>
      <c r="TAE104" s="450"/>
      <c r="TAF104" s="450"/>
      <c r="TAG104" s="450"/>
      <c r="TAH104" s="450"/>
      <c r="TAI104" s="450"/>
      <c r="TAJ104" s="450"/>
      <c r="TAK104" s="450"/>
      <c r="TAL104" s="450"/>
      <c r="TAM104" s="450"/>
      <c r="TAN104" s="450"/>
      <c r="TAO104" s="450"/>
      <c r="TAP104" s="450"/>
      <c r="TAQ104" s="450"/>
      <c r="TAR104" s="450"/>
      <c r="TAS104" s="450"/>
      <c r="TAT104" s="450"/>
      <c r="TAU104" s="450"/>
      <c r="TAV104" s="450"/>
      <c r="TAW104" s="450"/>
      <c r="TAX104" s="450"/>
      <c r="TAY104" s="450"/>
      <c r="TAZ104" s="450"/>
      <c r="TBA104" s="450"/>
      <c r="TBB104" s="450"/>
      <c r="TBC104" s="450"/>
      <c r="TBD104" s="450"/>
      <c r="TBE104" s="450"/>
      <c r="TBF104" s="450"/>
      <c r="TBG104" s="450"/>
      <c r="TBH104" s="450"/>
      <c r="TBI104" s="450"/>
      <c r="TBJ104" s="450"/>
      <c r="TBK104" s="450"/>
      <c r="TBL104" s="450"/>
      <c r="TBM104" s="450"/>
      <c r="TBN104" s="450"/>
      <c r="TBO104" s="450"/>
      <c r="TBP104" s="450"/>
      <c r="TBQ104" s="450"/>
      <c r="TBR104" s="450"/>
      <c r="TBS104" s="450"/>
      <c r="TBT104" s="450"/>
      <c r="TBU104" s="450"/>
      <c r="TBV104" s="450"/>
      <c r="TBW104" s="450"/>
      <c r="TBX104" s="450"/>
      <c r="TBY104" s="450"/>
      <c r="TBZ104" s="450"/>
      <c r="TCA104" s="450"/>
      <c r="TCB104" s="450"/>
      <c r="TCC104" s="450"/>
      <c r="TCD104" s="450"/>
      <c r="TCE104" s="450"/>
      <c r="TCF104" s="450"/>
      <c r="TCG104" s="450"/>
      <c r="TCH104" s="450"/>
      <c r="TCI104" s="450"/>
      <c r="TCJ104" s="450"/>
      <c r="TCK104" s="450"/>
      <c r="TCL104" s="450"/>
      <c r="TCM104" s="450"/>
      <c r="TCN104" s="450"/>
      <c r="TCO104" s="450"/>
      <c r="TCP104" s="450"/>
      <c r="TCQ104" s="450"/>
      <c r="TCR104" s="450"/>
      <c r="TCS104" s="450"/>
      <c r="TCT104" s="450"/>
      <c r="TCU104" s="450"/>
      <c r="TCV104" s="450"/>
      <c r="TCW104" s="450"/>
      <c r="TCX104" s="450"/>
      <c r="TCY104" s="450"/>
      <c r="TCZ104" s="450"/>
      <c r="TDA104" s="450"/>
      <c r="TDB104" s="450"/>
      <c r="TDC104" s="450"/>
      <c r="TDD104" s="450"/>
      <c r="TDE104" s="450"/>
      <c r="TDF104" s="450"/>
      <c r="TDG104" s="450"/>
      <c r="TDH104" s="450"/>
      <c r="TDI104" s="450"/>
      <c r="TDJ104" s="450"/>
      <c r="TDK104" s="450"/>
      <c r="TDL104" s="450"/>
      <c r="TDM104" s="450"/>
      <c r="TDN104" s="450"/>
      <c r="TDO104" s="450"/>
      <c r="TDP104" s="450"/>
      <c r="TDQ104" s="450"/>
      <c r="TDR104" s="450"/>
      <c r="TDS104" s="450"/>
      <c r="TDT104" s="450"/>
      <c r="TDU104" s="450"/>
      <c r="TDV104" s="450"/>
      <c r="TDW104" s="450"/>
      <c r="TDX104" s="450"/>
      <c r="TDY104" s="450"/>
      <c r="TDZ104" s="450"/>
      <c r="TEA104" s="450"/>
      <c r="TEB104" s="450"/>
      <c r="TEC104" s="450"/>
      <c r="TED104" s="450"/>
      <c r="TEE104" s="450"/>
      <c r="TEF104" s="450"/>
      <c r="TEG104" s="450"/>
      <c r="TEH104" s="450"/>
      <c r="TEI104" s="450"/>
      <c r="TEJ104" s="450"/>
      <c r="TEK104" s="450"/>
      <c r="TEL104" s="450"/>
      <c r="TEM104" s="450"/>
      <c r="TEN104" s="450"/>
      <c r="TEO104" s="450"/>
      <c r="TEP104" s="450"/>
      <c r="TEQ104" s="450"/>
      <c r="TER104" s="450"/>
      <c r="TES104" s="450"/>
      <c r="TET104" s="450"/>
      <c r="TEU104" s="450"/>
      <c r="TEV104" s="450"/>
      <c r="TEW104" s="450"/>
      <c r="TEX104" s="450"/>
      <c r="TEY104" s="450"/>
      <c r="TEZ104" s="450"/>
      <c r="TFA104" s="450"/>
      <c r="TFB104" s="450"/>
      <c r="TFC104" s="450"/>
      <c r="TFD104" s="450"/>
      <c r="TFE104" s="450"/>
      <c r="TFF104" s="450"/>
      <c r="TFG104" s="450"/>
      <c r="TFH104" s="450"/>
      <c r="TFI104" s="450"/>
      <c r="TFJ104" s="450"/>
      <c r="TFK104" s="450"/>
      <c r="TFL104" s="450"/>
      <c r="TFM104" s="450"/>
      <c r="TFN104" s="450"/>
      <c r="TFO104" s="450"/>
      <c r="TFP104" s="450"/>
      <c r="TFQ104" s="450"/>
      <c r="TFR104" s="450"/>
      <c r="TFS104" s="450"/>
      <c r="TFT104" s="450"/>
      <c r="TFU104" s="450"/>
      <c r="TFV104" s="450"/>
      <c r="TFW104" s="450"/>
      <c r="TFX104" s="450"/>
      <c r="TFY104" s="450"/>
      <c r="TFZ104" s="450"/>
      <c r="TGA104" s="450"/>
      <c r="TGB104" s="450"/>
      <c r="TGC104" s="450"/>
      <c r="TGD104" s="450"/>
      <c r="TGE104" s="450"/>
      <c r="TGF104" s="450"/>
      <c r="TGG104" s="450"/>
      <c r="TGH104" s="450"/>
      <c r="TGI104" s="450"/>
      <c r="TGJ104" s="450"/>
      <c r="TGK104" s="450"/>
      <c r="TGL104" s="450"/>
      <c r="TGM104" s="450"/>
      <c r="TGN104" s="450"/>
      <c r="TGO104" s="450"/>
      <c r="TGP104" s="450"/>
      <c r="TGQ104" s="450"/>
      <c r="TGR104" s="450"/>
      <c r="TGS104" s="450"/>
      <c r="TGT104" s="450"/>
      <c r="TGU104" s="450"/>
      <c r="TGV104" s="450"/>
      <c r="TGW104" s="450"/>
      <c r="TGX104" s="450"/>
      <c r="TGY104" s="450"/>
      <c r="TGZ104" s="450"/>
      <c r="THA104" s="450"/>
      <c r="THB104" s="450"/>
      <c r="THC104" s="450"/>
      <c r="THD104" s="450"/>
      <c r="THE104" s="450"/>
      <c r="THF104" s="450"/>
      <c r="THG104" s="450"/>
      <c r="THH104" s="450"/>
      <c r="THI104" s="450"/>
      <c r="THJ104" s="450"/>
      <c r="THK104" s="450"/>
      <c r="THL104" s="450"/>
      <c r="THM104" s="450"/>
      <c r="THN104" s="450"/>
      <c r="THO104" s="450"/>
      <c r="THP104" s="450"/>
      <c r="THQ104" s="450"/>
      <c r="THR104" s="450"/>
      <c r="THS104" s="450"/>
      <c r="THT104" s="450"/>
      <c r="THU104" s="450"/>
      <c r="THV104" s="450"/>
      <c r="THW104" s="450"/>
      <c r="THX104" s="450"/>
      <c r="THY104" s="450"/>
      <c r="THZ104" s="450"/>
      <c r="TIA104" s="450"/>
      <c r="TIB104" s="450"/>
      <c r="TIC104" s="450"/>
      <c r="TID104" s="450"/>
      <c r="TIE104" s="450"/>
      <c r="TIF104" s="450"/>
      <c r="TIG104" s="450"/>
      <c r="TIH104" s="450"/>
      <c r="TII104" s="450"/>
      <c r="TIJ104" s="450"/>
      <c r="TIK104" s="450"/>
      <c r="TIL104" s="450"/>
      <c r="TIM104" s="450"/>
      <c r="TIN104" s="450"/>
      <c r="TIO104" s="450"/>
      <c r="TIP104" s="450"/>
      <c r="TIQ104" s="450"/>
      <c r="TIR104" s="450"/>
      <c r="TIS104" s="450"/>
      <c r="TIT104" s="450"/>
      <c r="TIU104" s="450"/>
      <c r="TIV104" s="450"/>
      <c r="TIW104" s="450"/>
      <c r="TIX104" s="450"/>
      <c r="TIY104" s="450"/>
      <c r="TIZ104" s="450"/>
      <c r="TJA104" s="450"/>
      <c r="TJB104" s="450"/>
      <c r="TJC104" s="450"/>
      <c r="TJD104" s="450"/>
      <c r="TJE104" s="450"/>
      <c r="TJF104" s="450"/>
      <c r="TJG104" s="450"/>
      <c r="TJH104" s="450"/>
      <c r="TJI104" s="450"/>
      <c r="TJJ104" s="450"/>
      <c r="TJK104" s="450"/>
      <c r="TJL104" s="450"/>
      <c r="TJM104" s="450"/>
      <c r="TJN104" s="450"/>
      <c r="TJO104" s="450"/>
      <c r="TJP104" s="450"/>
      <c r="TJQ104" s="450"/>
      <c r="TJR104" s="450"/>
      <c r="TJS104" s="450"/>
      <c r="TJT104" s="450"/>
      <c r="TJU104" s="450"/>
      <c r="TJV104" s="450"/>
      <c r="TJW104" s="450"/>
      <c r="TJX104" s="450"/>
      <c r="TJY104" s="450"/>
      <c r="TJZ104" s="450"/>
      <c r="TKA104" s="450"/>
      <c r="TKB104" s="450"/>
      <c r="TKC104" s="450"/>
      <c r="TKD104" s="450"/>
      <c r="TKE104" s="450"/>
      <c r="TKF104" s="450"/>
      <c r="TKG104" s="450"/>
      <c r="TKH104" s="450"/>
      <c r="TKI104" s="450"/>
      <c r="TKJ104" s="450"/>
      <c r="TKK104" s="450"/>
      <c r="TKL104" s="450"/>
      <c r="TKM104" s="450"/>
      <c r="TKN104" s="450"/>
      <c r="TKO104" s="450"/>
      <c r="TKP104" s="450"/>
      <c r="TKQ104" s="450"/>
      <c r="TKR104" s="450"/>
      <c r="TKS104" s="450"/>
      <c r="TKT104" s="450"/>
      <c r="TKU104" s="450"/>
      <c r="TKV104" s="450"/>
      <c r="TKW104" s="450"/>
      <c r="TKX104" s="450"/>
      <c r="TKY104" s="450"/>
      <c r="TKZ104" s="450"/>
      <c r="TLA104" s="450"/>
      <c r="TLB104" s="450"/>
      <c r="TLC104" s="450"/>
      <c r="TLD104" s="450"/>
      <c r="TLE104" s="450"/>
      <c r="TLF104" s="450"/>
      <c r="TLG104" s="450"/>
      <c r="TLH104" s="450"/>
      <c r="TLI104" s="450"/>
      <c r="TLJ104" s="450"/>
      <c r="TLK104" s="450"/>
      <c r="TLL104" s="450"/>
      <c r="TLM104" s="450"/>
      <c r="TLN104" s="450"/>
      <c r="TLO104" s="450"/>
      <c r="TLP104" s="450"/>
      <c r="TLQ104" s="450"/>
      <c r="TLR104" s="450"/>
      <c r="TLS104" s="450"/>
      <c r="TLT104" s="450"/>
      <c r="TLU104" s="450"/>
      <c r="TLV104" s="450"/>
      <c r="TLW104" s="450"/>
      <c r="TLX104" s="450"/>
      <c r="TLY104" s="450"/>
      <c r="TLZ104" s="450"/>
      <c r="TMA104" s="450"/>
      <c r="TMB104" s="450"/>
      <c r="TMC104" s="450"/>
      <c r="TMD104" s="450"/>
      <c r="TME104" s="450"/>
      <c r="TMF104" s="450"/>
      <c r="TMG104" s="450"/>
      <c r="TMH104" s="450"/>
      <c r="TMI104" s="450"/>
      <c r="TMJ104" s="450"/>
      <c r="TMK104" s="450"/>
      <c r="TML104" s="450"/>
      <c r="TMM104" s="450"/>
      <c r="TMN104" s="450"/>
      <c r="TMO104" s="450"/>
      <c r="TMP104" s="450"/>
      <c r="TMQ104" s="450"/>
      <c r="TMR104" s="450"/>
      <c r="TMS104" s="450"/>
      <c r="TMT104" s="450"/>
      <c r="TMU104" s="450"/>
      <c r="TMV104" s="450"/>
      <c r="TMW104" s="450"/>
      <c r="TMX104" s="450"/>
      <c r="TMY104" s="450"/>
      <c r="TMZ104" s="450"/>
      <c r="TNA104" s="450"/>
      <c r="TNB104" s="450"/>
      <c r="TNC104" s="450"/>
      <c r="TND104" s="450"/>
      <c r="TNE104" s="450"/>
      <c r="TNF104" s="450"/>
      <c r="TNG104" s="450"/>
      <c r="TNH104" s="450"/>
      <c r="TNI104" s="450"/>
      <c r="TNJ104" s="450"/>
      <c r="TNK104" s="450"/>
      <c r="TNL104" s="450"/>
      <c r="TNM104" s="450"/>
      <c r="TNN104" s="450"/>
      <c r="TNO104" s="450"/>
      <c r="TNP104" s="450"/>
      <c r="TNQ104" s="450"/>
      <c r="TNR104" s="450"/>
      <c r="TNS104" s="450"/>
      <c r="TNT104" s="450"/>
      <c r="TNU104" s="450"/>
      <c r="TNV104" s="450"/>
      <c r="TNW104" s="450"/>
      <c r="TNX104" s="450"/>
      <c r="TNY104" s="450"/>
      <c r="TNZ104" s="450"/>
      <c r="TOA104" s="450"/>
      <c r="TOB104" s="450"/>
      <c r="TOC104" s="450"/>
      <c r="TOD104" s="450"/>
      <c r="TOE104" s="450"/>
      <c r="TOF104" s="450"/>
      <c r="TOG104" s="450"/>
      <c r="TOH104" s="450"/>
      <c r="TOI104" s="450"/>
      <c r="TOJ104" s="450"/>
      <c r="TOK104" s="450"/>
      <c r="TOL104" s="450"/>
      <c r="TOM104" s="450"/>
      <c r="TON104" s="450"/>
      <c r="TOO104" s="450"/>
      <c r="TOP104" s="450"/>
      <c r="TOQ104" s="450"/>
      <c r="TOR104" s="450"/>
      <c r="TOS104" s="450"/>
      <c r="TOT104" s="450"/>
      <c r="TOU104" s="450"/>
      <c r="TOV104" s="450"/>
      <c r="TOW104" s="450"/>
      <c r="TOX104" s="450"/>
      <c r="TOY104" s="450"/>
      <c r="TOZ104" s="450"/>
      <c r="TPA104" s="450"/>
      <c r="TPB104" s="450"/>
      <c r="TPC104" s="450"/>
      <c r="TPD104" s="450"/>
      <c r="TPE104" s="450"/>
      <c r="TPF104" s="450"/>
      <c r="TPG104" s="450"/>
      <c r="TPH104" s="450"/>
      <c r="TPI104" s="450"/>
      <c r="TPJ104" s="450"/>
      <c r="TPK104" s="450"/>
      <c r="TPL104" s="450"/>
      <c r="TPM104" s="450"/>
      <c r="TPN104" s="450"/>
      <c r="TPO104" s="450"/>
      <c r="TPP104" s="450"/>
      <c r="TPQ104" s="450"/>
      <c r="TPR104" s="450"/>
      <c r="TPS104" s="450"/>
      <c r="TPT104" s="450"/>
      <c r="TPU104" s="450"/>
      <c r="TPV104" s="450"/>
      <c r="TPW104" s="450"/>
      <c r="TPX104" s="450"/>
      <c r="TPY104" s="450"/>
      <c r="TPZ104" s="450"/>
      <c r="TQA104" s="450"/>
      <c r="TQB104" s="450"/>
      <c r="TQC104" s="450"/>
      <c r="TQD104" s="450"/>
      <c r="TQE104" s="450"/>
      <c r="TQF104" s="450"/>
      <c r="TQG104" s="450"/>
      <c r="TQH104" s="450"/>
      <c r="TQI104" s="450"/>
      <c r="TQJ104" s="450"/>
      <c r="TQK104" s="450"/>
      <c r="TQL104" s="450"/>
      <c r="TQM104" s="450"/>
      <c r="TQN104" s="450"/>
      <c r="TQO104" s="450"/>
      <c r="TQP104" s="450"/>
      <c r="TQQ104" s="450"/>
      <c r="TQR104" s="450"/>
      <c r="TQS104" s="450"/>
      <c r="TQT104" s="450"/>
      <c r="TQU104" s="450"/>
      <c r="TQV104" s="450"/>
      <c r="TQW104" s="450"/>
      <c r="TQX104" s="450"/>
      <c r="TQY104" s="450"/>
      <c r="TQZ104" s="450"/>
      <c r="TRA104" s="450"/>
      <c r="TRB104" s="450"/>
      <c r="TRC104" s="450"/>
      <c r="TRD104" s="450"/>
      <c r="TRE104" s="450"/>
      <c r="TRF104" s="450"/>
      <c r="TRG104" s="450"/>
      <c r="TRH104" s="450"/>
      <c r="TRI104" s="450"/>
      <c r="TRJ104" s="450"/>
      <c r="TRK104" s="450"/>
      <c r="TRL104" s="450"/>
      <c r="TRM104" s="450"/>
      <c r="TRN104" s="450"/>
      <c r="TRO104" s="450"/>
      <c r="TRP104" s="450"/>
      <c r="TRQ104" s="450"/>
      <c r="TRR104" s="450"/>
      <c r="TRS104" s="450"/>
      <c r="TRT104" s="450"/>
      <c r="TRU104" s="450"/>
      <c r="TRV104" s="450"/>
      <c r="TRW104" s="450"/>
      <c r="TRX104" s="450"/>
      <c r="TRY104" s="450"/>
      <c r="TRZ104" s="450"/>
      <c r="TSA104" s="450"/>
      <c r="TSB104" s="450"/>
      <c r="TSC104" s="450"/>
      <c r="TSD104" s="450"/>
      <c r="TSE104" s="450"/>
      <c r="TSF104" s="450"/>
      <c r="TSG104" s="450"/>
      <c r="TSH104" s="450"/>
      <c r="TSI104" s="450"/>
      <c r="TSJ104" s="450"/>
      <c r="TSK104" s="450"/>
      <c r="TSL104" s="450"/>
      <c r="TSM104" s="450"/>
      <c r="TSN104" s="450"/>
      <c r="TSO104" s="450"/>
      <c r="TSP104" s="450"/>
      <c r="TSQ104" s="450"/>
      <c r="TSR104" s="450"/>
      <c r="TSS104" s="450"/>
      <c r="TST104" s="450"/>
      <c r="TSU104" s="450"/>
      <c r="TSV104" s="450"/>
      <c r="TSW104" s="450"/>
      <c r="TSX104" s="450"/>
      <c r="TSY104" s="450"/>
      <c r="TSZ104" s="450"/>
      <c r="TTA104" s="450"/>
      <c r="TTB104" s="450"/>
      <c r="TTC104" s="450"/>
      <c r="TTD104" s="450"/>
      <c r="TTE104" s="450"/>
      <c r="TTF104" s="450"/>
      <c r="TTG104" s="450"/>
      <c r="TTH104" s="450"/>
      <c r="TTI104" s="450"/>
      <c r="TTJ104" s="450"/>
      <c r="TTK104" s="450"/>
      <c r="TTL104" s="450"/>
      <c r="TTM104" s="450"/>
      <c r="TTN104" s="450"/>
      <c r="TTO104" s="450"/>
      <c r="TTP104" s="450"/>
      <c r="TTQ104" s="450"/>
      <c r="TTR104" s="450"/>
      <c r="TTS104" s="450"/>
      <c r="TTT104" s="450"/>
      <c r="TTU104" s="450"/>
      <c r="TTV104" s="450"/>
      <c r="TTW104" s="450"/>
      <c r="TTX104" s="450"/>
      <c r="TTY104" s="450"/>
      <c r="TTZ104" s="450"/>
      <c r="TUA104" s="450"/>
      <c r="TUB104" s="450"/>
      <c r="TUC104" s="450"/>
      <c r="TUD104" s="450"/>
      <c r="TUE104" s="450"/>
      <c r="TUF104" s="450"/>
      <c r="TUG104" s="450"/>
      <c r="TUH104" s="450"/>
      <c r="TUI104" s="450"/>
      <c r="TUJ104" s="450"/>
      <c r="TUK104" s="450"/>
      <c r="TUL104" s="450"/>
      <c r="TUM104" s="450"/>
      <c r="TUN104" s="450"/>
      <c r="TUO104" s="450"/>
      <c r="TUP104" s="450"/>
      <c r="TUQ104" s="450"/>
      <c r="TUR104" s="450"/>
      <c r="TUS104" s="450"/>
      <c r="TUT104" s="450"/>
      <c r="TUU104" s="450"/>
      <c r="TUV104" s="450"/>
      <c r="TUW104" s="450"/>
      <c r="TUX104" s="450"/>
      <c r="TUY104" s="450"/>
      <c r="TUZ104" s="450"/>
      <c r="TVA104" s="450"/>
      <c r="TVB104" s="450"/>
      <c r="TVC104" s="450"/>
      <c r="TVD104" s="450"/>
      <c r="TVE104" s="450"/>
      <c r="TVF104" s="450"/>
      <c r="TVG104" s="450"/>
      <c r="TVH104" s="450"/>
      <c r="TVI104" s="450"/>
      <c r="TVJ104" s="450"/>
      <c r="TVK104" s="450"/>
      <c r="TVL104" s="450"/>
      <c r="TVM104" s="450"/>
      <c r="TVN104" s="450"/>
      <c r="TVO104" s="450"/>
      <c r="TVP104" s="450"/>
      <c r="TVQ104" s="450"/>
      <c r="TVR104" s="450"/>
      <c r="TVS104" s="450"/>
      <c r="TVT104" s="450"/>
      <c r="TVU104" s="450"/>
      <c r="TVV104" s="450"/>
      <c r="TVW104" s="450"/>
      <c r="TVX104" s="450"/>
      <c r="TVY104" s="450"/>
      <c r="TVZ104" s="450"/>
      <c r="TWA104" s="450"/>
      <c r="TWB104" s="450"/>
      <c r="TWC104" s="450"/>
      <c r="TWD104" s="450"/>
      <c r="TWE104" s="450"/>
      <c r="TWF104" s="450"/>
      <c r="TWG104" s="450"/>
      <c r="TWH104" s="450"/>
      <c r="TWI104" s="450"/>
      <c r="TWJ104" s="450"/>
      <c r="TWK104" s="450"/>
      <c r="TWL104" s="450"/>
      <c r="TWM104" s="450"/>
      <c r="TWN104" s="450"/>
      <c r="TWO104" s="450"/>
      <c r="TWP104" s="450"/>
      <c r="TWQ104" s="450"/>
      <c r="TWR104" s="450"/>
      <c r="TWS104" s="450"/>
      <c r="TWT104" s="450"/>
      <c r="TWU104" s="450"/>
      <c r="TWV104" s="450"/>
      <c r="TWW104" s="450"/>
      <c r="TWX104" s="450"/>
      <c r="TWY104" s="450"/>
      <c r="TWZ104" s="450"/>
      <c r="TXA104" s="450"/>
      <c r="TXB104" s="450"/>
      <c r="TXC104" s="450"/>
      <c r="TXD104" s="450"/>
      <c r="TXE104" s="450"/>
      <c r="TXF104" s="450"/>
      <c r="TXG104" s="450"/>
      <c r="TXH104" s="450"/>
      <c r="TXI104" s="450"/>
      <c r="TXJ104" s="450"/>
      <c r="TXK104" s="450"/>
      <c r="TXL104" s="450"/>
      <c r="TXM104" s="450"/>
      <c r="TXN104" s="450"/>
      <c r="TXO104" s="450"/>
      <c r="TXP104" s="450"/>
      <c r="TXQ104" s="450"/>
      <c r="TXR104" s="450"/>
      <c r="TXS104" s="450"/>
      <c r="TXT104" s="450"/>
      <c r="TXU104" s="450"/>
      <c r="TXV104" s="450"/>
      <c r="TXW104" s="450"/>
      <c r="TXX104" s="450"/>
      <c r="TXY104" s="450"/>
      <c r="TXZ104" s="450"/>
      <c r="TYA104" s="450"/>
      <c r="TYB104" s="450"/>
      <c r="TYC104" s="450"/>
      <c r="TYD104" s="450"/>
      <c r="TYE104" s="450"/>
      <c r="TYF104" s="450"/>
      <c r="TYG104" s="450"/>
      <c r="TYH104" s="450"/>
      <c r="TYI104" s="450"/>
      <c r="TYJ104" s="450"/>
      <c r="TYK104" s="450"/>
      <c r="TYL104" s="450"/>
      <c r="TYM104" s="450"/>
      <c r="TYN104" s="450"/>
      <c r="TYO104" s="450"/>
      <c r="TYP104" s="450"/>
      <c r="TYQ104" s="450"/>
      <c r="TYR104" s="450"/>
      <c r="TYS104" s="450"/>
      <c r="TYT104" s="450"/>
      <c r="TYU104" s="450"/>
      <c r="TYV104" s="450"/>
      <c r="TYW104" s="450"/>
      <c r="TYX104" s="450"/>
      <c r="TYY104" s="450"/>
      <c r="TYZ104" s="450"/>
      <c r="TZA104" s="450"/>
      <c r="TZB104" s="450"/>
      <c r="TZC104" s="450"/>
      <c r="TZD104" s="450"/>
      <c r="TZE104" s="450"/>
      <c r="TZF104" s="450"/>
      <c r="TZG104" s="450"/>
      <c r="TZH104" s="450"/>
      <c r="TZI104" s="450"/>
      <c r="TZJ104" s="450"/>
      <c r="TZK104" s="450"/>
      <c r="TZL104" s="450"/>
      <c r="TZM104" s="450"/>
      <c r="TZN104" s="450"/>
      <c r="TZO104" s="450"/>
      <c r="TZP104" s="450"/>
      <c r="TZQ104" s="450"/>
      <c r="TZR104" s="450"/>
      <c r="TZS104" s="450"/>
      <c r="TZT104" s="450"/>
      <c r="TZU104" s="450"/>
      <c r="TZV104" s="450"/>
      <c r="TZW104" s="450"/>
      <c r="TZX104" s="450"/>
      <c r="TZY104" s="450"/>
      <c r="TZZ104" s="450"/>
      <c r="UAA104" s="450"/>
      <c r="UAB104" s="450"/>
      <c r="UAC104" s="450"/>
      <c r="UAD104" s="450"/>
      <c r="UAE104" s="450"/>
      <c r="UAF104" s="450"/>
      <c r="UAG104" s="450"/>
      <c r="UAH104" s="450"/>
      <c r="UAI104" s="450"/>
      <c r="UAJ104" s="450"/>
      <c r="UAK104" s="450"/>
      <c r="UAL104" s="450"/>
      <c r="UAM104" s="450"/>
      <c r="UAN104" s="450"/>
      <c r="UAO104" s="450"/>
      <c r="UAP104" s="450"/>
      <c r="UAQ104" s="450"/>
      <c r="UAR104" s="450"/>
      <c r="UAS104" s="450"/>
      <c r="UAT104" s="450"/>
      <c r="UAU104" s="450"/>
      <c r="UAV104" s="450"/>
      <c r="UAW104" s="450"/>
      <c r="UAX104" s="450"/>
      <c r="UAY104" s="450"/>
      <c r="UAZ104" s="450"/>
      <c r="UBA104" s="450"/>
      <c r="UBB104" s="450"/>
      <c r="UBC104" s="450"/>
      <c r="UBD104" s="450"/>
      <c r="UBE104" s="450"/>
      <c r="UBF104" s="450"/>
      <c r="UBG104" s="450"/>
      <c r="UBH104" s="450"/>
      <c r="UBI104" s="450"/>
      <c r="UBJ104" s="450"/>
      <c r="UBK104" s="450"/>
      <c r="UBL104" s="450"/>
      <c r="UBM104" s="450"/>
      <c r="UBN104" s="450"/>
      <c r="UBO104" s="450"/>
      <c r="UBP104" s="450"/>
      <c r="UBQ104" s="450"/>
      <c r="UBR104" s="450"/>
      <c r="UBS104" s="450"/>
      <c r="UBT104" s="450"/>
      <c r="UBU104" s="450"/>
      <c r="UBV104" s="450"/>
      <c r="UBW104" s="450"/>
      <c r="UBX104" s="450"/>
      <c r="UBY104" s="450"/>
      <c r="UBZ104" s="450"/>
      <c r="UCA104" s="450"/>
      <c r="UCB104" s="450"/>
      <c r="UCC104" s="450"/>
      <c r="UCD104" s="450"/>
      <c r="UCE104" s="450"/>
      <c r="UCF104" s="450"/>
      <c r="UCG104" s="450"/>
      <c r="UCH104" s="450"/>
      <c r="UCI104" s="450"/>
      <c r="UCJ104" s="450"/>
      <c r="UCK104" s="450"/>
      <c r="UCL104" s="450"/>
      <c r="UCM104" s="450"/>
      <c r="UCN104" s="450"/>
      <c r="UCO104" s="450"/>
      <c r="UCP104" s="450"/>
      <c r="UCQ104" s="450"/>
      <c r="UCR104" s="450"/>
      <c r="UCS104" s="450"/>
      <c r="UCT104" s="450"/>
      <c r="UCU104" s="450"/>
      <c r="UCV104" s="450"/>
      <c r="UCW104" s="450"/>
      <c r="UCX104" s="450"/>
      <c r="UCY104" s="450"/>
      <c r="UCZ104" s="450"/>
      <c r="UDA104" s="450"/>
      <c r="UDB104" s="450"/>
      <c r="UDC104" s="450"/>
      <c r="UDD104" s="450"/>
      <c r="UDE104" s="450"/>
      <c r="UDF104" s="450"/>
      <c r="UDG104" s="450"/>
      <c r="UDH104" s="450"/>
      <c r="UDI104" s="450"/>
      <c r="UDJ104" s="450"/>
      <c r="UDK104" s="450"/>
      <c r="UDL104" s="450"/>
      <c r="UDM104" s="450"/>
      <c r="UDN104" s="450"/>
      <c r="UDO104" s="450"/>
      <c r="UDP104" s="450"/>
      <c r="UDQ104" s="450"/>
      <c r="UDR104" s="450"/>
      <c r="UDS104" s="450"/>
      <c r="UDT104" s="450"/>
      <c r="UDU104" s="450"/>
      <c r="UDV104" s="450"/>
      <c r="UDW104" s="450"/>
      <c r="UDX104" s="450"/>
      <c r="UDY104" s="450"/>
      <c r="UDZ104" s="450"/>
      <c r="UEA104" s="450"/>
      <c r="UEB104" s="450"/>
      <c r="UEC104" s="450"/>
      <c r="UED104" s="450"/>
      <c r="UEE104" s="450"/>
      <c r="UEF104" s="450"/>
      <c r="UEG104" s="450"/>
      <c r="UEH104" s="450"/>
      <c r="UEI104" s="450"/>
      <c r="UEJ104" s="450"/>
      <c r="UEK104" s="450"/>
      <c r="UEL104" s="450"/>
      <c r="UEM104" s="450"/>
      <c r="UEN104" s="450"/>
      <c r="UEO104" s="450"/>
      <c r="UEP104" s="450"/>
      <c r="UEQ104" s="450"/>
      <c r="UER104" s="450"/>
      <c r="UES104" s="450"/>
      <c r="UET104" s="450"/>
      <c r="UEU104" s="450"/>
      <c r="UEV104" s="450"/>
      <c r="UEW104" s="450"/>
      <c r="UEX104" s="450"/>
      <c r="UEY104" s="450"/>
      <c r="UEZ104" s="450"/>
      <c r="UFA104" s="450"/>
      <c r="UFB104" s="450"/>
      <c r="UFC104" s="450"/>
      <c r="UFD104" s="450"/>
      <c r="UFE104" s="450"/>
      <c r="UFF104" s="450"/>
      <c r="UFG104" s="450"/>
      <c r="UFH104" s="450"/>
      <c r="UFI104" s="450"/>
      <c r="UFJ104" s="450"/>
      <c r="UFK104" s="450"/>
      <c r="UFL104" s="450"/>
      <c r="UFM104" s="450"/>
      <c r="UFN104" s="450"/>
      <c r="UFO104" s="450"/>
      <c r="UFP104" s="450"/>
      <c r="UFQ104" s="450"/>
      <c r="UFR104" s="450"/>
      <c r="UFS104" s="450"/>
      <c r="UFT104" s="450"/>
      <c r="UFU104" s="450"/>
      <c r="UFV104" s="450"/>
      <c r="UFW104" s="450"/>
      <c r="UFX104" s="450"/>
      <c r="UFY104" s="450"/>
      <c r="UFZ104" s="450"/>
      <c r="UGA104" s="450"/>
      <c r="UGB104" s="450"/>
      <c r="UGC104" s="450"/>
      <c r="UGD104" s="450"/>
      <c r="UGE104" s="450"/>
      <c r="UGF104" s="450"/>
      <c r="UGG104" s="450"/>
      <c r="UGH104" s="450"/>
      <c r="UGI104" s="450"/>
      <c r="UGJ104" s="450"/>
      <c r="UGK104" s="450"/>
      <c r="UGL104" s="450"/>
      <c r="UGM104" s="450"/>
      <c r="UGN104" s="450"/>
      <c r="UGO104" s="450"/>
      <c r="UGP104" s="450"/>
      <c r="UGQ104" s="450"/>
      <c r="UGR104" s="450"/>
      <c r="UGS104" s="450"/>
      <c r="UGT104" s="450"/>
      <c r="UGU104" s="450"/>
      <c r="UGV104" s="450"/>
      <c r="UGW104" s="450"/>
      <c r="UGX104" s="450"/>
      <c r="UGY104" s="450"/>
      <c r="UGZ104" s="450"/>
      <c r="UHA104" s="450"/>
      <c r="UHB104" s="450"/>
      <c r="UHC104" s="450"/>
      <c r="UHD104" s="450"/>
      <c r="UHE104" s="450"/>
      <c r="UHF104" s="450"/>
      <c r="UHG104" s="450"/>
      <c r="UHH104" s="450"/>
      <c r="UHI104" s="450"/>
      <c r="UHJ104" s="450"/>
      <c r="UHK104" s="450"/>
      <c r="UHL104" s="450"/>
      <c r="UHM104" s="450"/>
      <c r="UHN104" s="450"/>
      <c r="UHO104" s="450"/>
      <c r="UHP104" s="450"/>
      <c r="UHQ104" s="450"/>
      <c r="UHR104" s="450"/>
      <c r="UHS104" s="450"/>
      <c r="UHT104" s="450"/>
      <c r="UHU104" s="450"/>
      <c r="UHV104" s="450"/>
      <c r="UHW104" s="450"/>
      <c r="UHX104" s="450"/>
      <c r="UHY104" s="450"/>
      <c r="UHZ104" s="450"/>
      <c r="UIA104" s="450"/>
      <c r="UIB104" s="450"/>
      <c r="UIC104" s="450"/>
      <c r="UID104" s="450"/>
      <c r="UIE104" s="450"/>
      <c r="UIF104" s="450"/>
      <c r="UIG104" s="450"/>
      <c r="UIH104" s="450"/>
      <c r="UII104" s="450"/>
      <c r="UIJ104" s="450"/>
      <c r="UIK104" s="450"/>
      <c r="UIL104" s="450"/>
      <c r="UIM104" s="450"/>
      <c r="UIN104" s="450"/>
      <c r="UIO104" s="450"/>
      <c r="UIP104" s="450"/>
      <c r="UIQ104" s="450"/>
      <c r="UIR104" s="450"/>
      <c r="UIS104" s="450"/>
      <c r="UIT104" s="450"/>
      <c r="UIU104" s="450"/>
      <c r="UIV104" s="450"/>
      <c r="UIW104" s="450"/>
      <c r="UIX104" s="450"/>
      <c r="UIY104" s="450"/>
      <c r="UIZ104" s="450"/>
      <c r="UJA104" s="450"/>
      <c r="UJB104" s="450"/>
      <c r="UJC104" s="450"/>
      <c r="UJD104" s="450"/>
      <c r="UJE104" s="450"/>
      <c r="UJF104" s="450"/>
      <c r="UJG104" s="450"/>
      <c r="UJH104" s="450"/>
      <c r="UJI104" s="450"/>
      <c r="UJJ104" s="450"/>
      <c r="UJK104" s="450"/>
      <c r="UJL104" s="450"/>
      <c r="UJM104" s="450"/>
      <c r="UJN104" s="450"/>
      <c r="UJO104" s="450"/>
      <c r="UJP104" s="450"/>
      <c r="UJQ104" s="450"/>
      <c r="UJR104" s="450"/>
      <c r="UJS104" s="450"/>
      <c r="UJT104" s="450"/>
      <c r="UJU104" s="450"/>
      <c r="UJV104" s="450"/>
      <c r="UJW104" s="450"/>
      <c r="UJX104" s="450"/>
      <c r="UJY104" s="450"/>
      <c r="UJZ104" s="450"/>
      <c r="UKA104" s="450"/>
      <c r="UKB104" s="450"/>
      <c r="UKC104" s="450"/>
      <c r="UKD104" s="450"/>
      <c r="UKE104" s="450"/>
      <c r="UKF104" s="450"/>
      <c r="UKG104" s="450"/>
      <c r="UKH104" s="450"/>
      <c r="UKI104" s="450"/>
      <c r="UKJ104" s="450"/>
      <c r="UKK104" s="450"/>
      <c r="UKL104" s="450"/>
      <c r="UKM104" s="450"/>
      <c r="UKN104" s="450"/>
      <c r="UKO104" s="450"/>
      <c r="UKP104" s="450"/>
      <c r="UKQ104" s="450"/>
      <c r="UKR104" s="450"/>
      <c r="UKS104" s="450"/>
      <c r="UKT104" s="450"/>
      <c r="UKU104" s="450"/>
      <c r="UKV104" s="450"/>
      <c r="UKW104" s="450"/>
      <c r="UKX104" s="450"/>
      <c r="UKY104" s="450"/>
      <c r="UKZ104" s="450"/>
      <c r="ULA104" s="450"/>
      <c r="ULB104" s="450"/>
      <c r="ULC104" s="450"/>
      <c r="ULD104" s="450"/>
      <c r="ULE104" s="450"/>
      <c r="ULF104" s="450"/>
      <c r="ULG104" s="450"/>
      <c r="ULH104" s="450"/>
      <c r="ULI104" s="450"/>
      <c r="ULJ104" s="450"/>
      <c r="ULK104" s="450"/>
      <c r="ULL104" s="450"/>
      <c r="ULM104" s="450"/>
      <c r="ULN104" s="450"/>
      <c r="ULO104" s="450"/>
      <c r="ULP104" s="450"/>
      <c r="ULQ104" s="450"/>
      <c r="ULR104" s="450"/>
      <c r="ULS104" s="450"/>
      <c r="ULT104" s="450"/>
      <c r="ULU104" s="450"/>
      <c r="ULV104" s="450"/>
      <c r="ULW104" s="450"/>
      <c r="ULX104" s="450"/>
      <c r="ULY104" s="450"/>
      <c r="ULZ104" s="450"/>
      <c r="UMA104" s="450"/>
      <c r="UMB104" s="450"/>
      <c r="UMC104" s="450"/>
      <c r="UMD104" s="450"/>
      <c r="UME104" s="450"/>
      <c r="UMF104" s="450"/>
      <c r="UMG104" s="450"/>
      <c r="UMH104" s="450"/>
      <c r="UMI104" s="450"/>
      <c r="UMJ104" s="450"/>
      <c r="UMK104" s="450"/>
      <c r="UML104" s="450"/>
      <c r="UMM104" s="450"/>
      <c r="UMN104" s="450"/>
      <c r="UMO104" s="450"/>
      <c r="UMP104" s="450"/>
      <c r="UMQ104" s="450"/>
      <c r="UMR104" s="450"/>
      <c r="UMS104" s="450"/>
      <c r="UMT104" s="450"/>
      <c r="UMU104" s="450"/>
      <c r="UMV104" s="450"/>
      <c r="UMW104" s="450"/>
      <c r="UMX104" s="450"/>
      <c r="UMY104" s="450"/>
      <c r="UMZ104" s="450"/>
      <c r="UNA104" s="450"/>
      <c r="UNB104" s="450"/>
      <c r="UNC104" s="450"/>
      <c r="UND104" s="450"/>
      <c r="UNE104" s="450"/>
      <c r="UNF104" s="450"/>
      <c r="UNG104" s="450"/>
      <c r="UNH104" s="450"/>
      <c r="UNI104" s="450"/>
      <c r="UNJ104" s="450"/>
      <c r="UNK104" s="450"/>
      <c r="UNL104" s="450"/>
      <c r="UNM104" s="450"/>
      <c r="UNN104" s="450"/>
      <c r="UNO104" s="450"/>
      <c r="UNP104" s="450"/>
      <c r="UNQ104" s="450"/>
      <c r="UNR104" s="450"/>
      <c r="UNS104" s="450"/>
      <c r="UNT104" s="450"/>
      <c r="UNU104" s="450"/>
      <c r="UNV104" s="450"/>
      <c r="UNW104" s="450"/>
      <c r="UNX104" s="450"/>
      <c r="UNY104" s="450"/>
      <c r="UNZ104" s="450"/>
      <c r="UOA104" s="450"/>
      <c r="UOB104" s="450"/>
      <c r="UOC104" s="450"/>
      <c r="UOD104" s="450"/>
      <c r="UOE104" s="450"/>
      <c r="UOF104" s="450"/>
      <c r="UOG104" s="450"/>
      <c r="UOH104" s="450"/>
      <c r="UOI104" s="450"/>
      <c r="UOJ104" s="450"/>
      <c r="UOK104" s="450"/>
      <c r="UOL104" s="450"/>
      <c r="UOM104" s="450"/>
      <c r="UON104" s="450"/>
      <c r="UOO104" s="450"/>
      <c r="UOP104" s="450"/>
      <c r="UOQ104" s="450"/>
      <c r="UOR104" s="450"/>
      <c r="UOS104" s="450"/>
      <c r="UOT104" s="450"/>
      <c r="UOU104" s="450"/>
      <c r="UOV104" s="450"/>
      <c r="UOW104" s="450"/>
      <c r="UOX104" s="450"/>
      <c r="UOY104" s="450"/>
      <c r="UOZ104" s="450"/>
      <c r="UPA104" s="450"/>
      <c r="UPB104" s="450"/>
      <c r="UPC104" s="450"/>
      <c r="UPD104" s="450"/>
      <c r="UPE104" s="450"/>
      <c r="UPF104" s="450"/>
      <c r="UPG104" s="450"/>
      <c r="UPH104" s="450"/>
      <c r="UPI104" s="450"/>
      <c r="UPJ104" s="450"/>
      <c r="UPK104" s="450"/>
      <c r="UPL104" s="450"/>
      <c r="UPM104" s="450"/>
      <c r="UPN104" s="450"/>
      <c r="UPO104" s="450"/>
      <c r="UPP104" s="450"/>
      <c r="UPQ104" s="450"/>
      <c r="UPR104" s="450"/>
      <c r="UPS104" s="450"/>
      <c r="UPT104" s="450"/>
      <c r="UPU104" s="450"/>
      <c r="UPV104" s="450"/>
      <c r="UPW104" s="450"/>
      <c r="UPX104" s="450"/>
      <c r="UPY104" s="450"/>
      <c r="UPZ104" s="450"/>
      <c r="UQA104" s="450"/>
      <c r="UQB104" s="450"/>
      <c r="UQC104" s="450"/>
      <c r="UQD104" s="450"/>
      <c r="UQE104" s="450"/>
      <c r="UQF104" s="450"/>
      <c r="UQG104" s="450"/>
      <c r="UQH104" s="450"/>
      <c r="UQI104" s="450"/>
      <c r="UQJ104" s="450"/>
      <c r="UQK104" s="450"/>
      <c r="UQL104" s="450"/>
      <c r="UQM104" s="450"/>
      <c r="UQN104" s="450"/>
      <c r="UQO104" s="450"/>
      <c r="UQP104" s="450"/>
      <c r="UQQ104" s="450"/>
      <c r="UQR104" s="450"/>
      <c r="UQS104" s="450"/>
      <c r="UQT104" s="450"/>
      <c r="UQU104" s="450"/>
      <c r="UQV104" s="450"/>
      <c r="UQW104" s="450"/>
      <c r="UQX104" s="450"/>
      <c r="UQY104" s="450"/>
      <c r="UQZ104" s="450"/>
      <c r="URA104" s="450"/>
      <c r="URB104" s="450"/>
      <c r="URC104" s="450"/>
      <c r="URD104" s="450"/>
      <c r="URE104" s="450"/>
      <c r="URF104" s="450"/>
      <c r="URG104" s="450"/>
      <c r="URH104" s="450"/>
      <c r="URI104" s="450"/>
      <c r="URJ104" s="450"/>
      <c r="URK104" s="450"/>
      <c r="URL104" s="450"/>
      <c r="URM104" s="450"/>
      <c r="URN104" s="450"/>
      <c r="URO104" s="450"/>
      <c r="URP104" s="450"/>
      <c r="URQ104" s="450"/>
      <c r="URR104" s="450"/>
      <c r="URS104" s="450"/>
      <c r="URT104" s="450"/>
      <c r="URU104" s="450"/>
      <c r="URV104" s="450"/>
      <c r="URW104" s="450"/>
      <c r="URX104" s="450"/>
      <c r="URY104" s="450"/>
      <c r="URZ104" s="450"/>
      <c r="USA104" s="450"/>
      <c r="USB104" s="450"/>
      <c r="USC104" s="450"/>
      <c r="USD104" s="450"/>
      <c r="USE104" s="450"/>
      <c r="USF104" s="450"/>
      <c r="USG104" s="450"/>
      <c r="USH104" s="450"/>
      <c r="USI104" s="450"/>
      <c r="USJ104" s="450"/>
      <c r="USK104" s="450"/>
      <c r="USL104" s="450"/>
      <c r="USM104" s="450"/>
      <c r="USN104" s="450"/>
      <c r="USO104" s="450"/>
      <c r="USP104" s="450"/>
      <c r="USQ104" s="450"/>
      <c r="USR104" s="450"/>
      <c r="USS104" s="450"/>
      <c r="UST104" s="450"/>
      <c r="USU104" s="450"/>
      <c r="USV104" s="450"/>
      <c r="USW104" s="450"/>
      <c r="USX104" s="450"/>
      <c r="USY104" s="450"/>
      <c r="USZ104" s="450"/>
      <c r="UTA104" s="450"/>
      <c r="UTB104" s="450"/>
      <c r="UTC104" s="450"/>
      <c r="UTD104" s="450"/>
      <c r="UTE104" s="450"/>
      <c r="UTF104" s="450"/>
      <c r="UTG104" s="450"/>
      <c r="UTH104" s="450"/>
      <c r="UTI104" s="450"/>
      <c r="UTJ104" s="450"/>
      <c r="UTK104" s="450"/>
      <c r="UTL104" s="450"/>
      <c r="UTM104" s="450"/>
      <c r="UTN104" s="450"/>
      <c r="UTO104" s="450"/>
      <c r="UTP104" s="450"/>
      <c r="UTQ104" s="450"/>
      <c r="UTR104" s="450"/>
      <c r="UTS104" s="450"/>
      <c r="UTT104" s="450"/>
      <c r="UTU104" s="450"/>
      <c r="UTV104" s="450"/>
      <c r="UTW104" s="450"/>
      <c r="UTX104" s="450"/>
      <c r="UTY104" s="450"/>
      <c r="UTZ104" s="450"/>
      <c r="UUA104" s="450"/>
      <c r="UUB104" s="450"/>
      <c r="UUC104" s="450"/>
      <c r="UUD104" s="450"/>
      <c r="UUE104" s="450"/>
      <c r="UUF104" s="450"/>
      <c r="UUG104" s="450"/>
      <c r="UUH104" s="450"/>
      <c r="UUI104" s="450"/>
      <c r="UUJ104" s="450"/>
      <c r="UUK104" s="450"/>
      <c r="UUL104" s="450"/>
      <c r="UUM104" s="450"/>
      <c r="UUN104" s="450"/>
      <c r="UUO104" s="450"/>
      <c r="UUP104" s="450"/>
      <c r="UUQ104" s="450"/>
      <c r="UUR104" s="450"/>
      <c r="UUS104" s="450"/>
      <c r="UUT104" s="450"/>
      <c r="UUU104" s="450"/>
      <c r="UUV104" s="450"/>
      <c r="UUW104" s="450"/>
      <c r="UUX104" s="450"/>
      <c r="UUY104" s="450"/>
      <c r="UUZ104" s="450"/>
      <c r="UVA104" s="450"/>
      <c r="UVB104" s="450"/>
      <c r="UVC104" s="450"/>
      <c r="UVD104" s="450"/>
      <c r="UVE104" s="450"/>
      <c r="UVF104" s="450"/>
      <c r="UVG104" s="450"/>
      <c r="UVH104" s="450"/>
      <c r="UVI104" s="450"/>
      <c r="UVJ104" s="450"/>
      <c r="UVK104" s="450"/>
      <c r="UVL104" s="450"/>
      <c r="UVM104" s="450"/>
      <c r="UVN104" s="450"/>
      <c r="UVO104" s="450"/>
      <c r="UVP104" s="450"/>
      <c r="UVQ104" s="450"/>
      <c r="UVR104" s="450"/>
      <c r="UVS104" s="450"/>
      <c r="UVT104" s="450"/>
      <c r="UVU104" s="450"/>
      <c r="UVV104" s="450"/>
      <c r="UVW104" s="450"/>
      <c r="UVX104" s="450"/>
      <c r="UVY104" s="450"/>
      <c r="UVZ104" s="450"/>
      <c r="UWA104" s="450"/>
      <c r="UWB104" s="450"/>
      <c r="UWC104" s="450"/>
      <c r="UWD104" s="450"/>
      <c r="UWE104" s="450"/>
      <c r="UWF104" s="450"/>
      <c r="UWG104" s="450"/>
      <c r="UWH104" s="450"/>
      <c r="UWI104" s="450"/>
      <c r="UWJ104" s="450"/>
      <c r="UWK104" s="450"/>
      <c r="UWL104" s="450"/>
      <c r="UWM104" s="450"/>
      <c r="UWN104" s="450"/>
      <c r="UWO104" s="450"/>
      <c r="UWP104" s="450"/>
      <c r="UWQ104" s="450"/>
      <c r="UWR104" s="450"/>
      <c r="UWS104" s="450"/>
      <c r="UWT104" s="450"/>
      <c r="UWU104" s="450"/>
      <c r="UWV104" s="450"/>
      <c r="UWW104" s="450"/>
      <c r="UWX104" s="450"/>
      <c r="UWY104" s="450"/>
      <c r="UWZ104" s="450"/>
      <c r="UXA104" s="450"/>
      <c r="UXB104" s="450"/>
      <c r="UXC104" s="450"/>
      <c r="UXD104" s="450"/>
      <c r="UXE104" s="450"/>
      <c r="UXF104" s="450"/>
      <c r="UXG104" s="450"/>
      <c r="UXH104" s="450"/>
      <c r="UXI104" s="450"/>
      <c r="UXJ104" s="450"/>
      <c r="UXK104" s="450"/>
      <c r="UXL104" s="450"/>
      <c r="UXM104" s="450"/>
      <c r="UXN104" s="450"/>
      <c r="UXO104" s="450"/>
      <c r="UXP104" s="450"/>
      <c r="UXQ104" s="450"/>
      <c r="UXR104" s="450"/>
      <c r="UXS104" s="450"/>
      <c r="UXT104" s="450"/>
      <c r="UXU104" s="450"/>
      <c r="UXV104" s="450"/>
      <c r="UXW104" s="450"/>
      <c r="UXX104" s="450"/>
      <c r="UXY104" s="450"/>
      <c r="UXZ104" s="450"/>
      <c r="UYA104" s="450"/>
      <c r="UYB104" s="450"/>
      <c r="UYC104" s="450"/>
      <c r="UYD104" s="450"/>
      <c r="UYE104" s="450"/>
      <c r="UYF104" s="450"/>
      <c r="UYG104" s="450"/>
      <c r="UYH104" s="450"/>
      <c r="UYI104" s="450"/>
      <c r="UYJ104" s="450"/>
      <c r="UYK104" s="450"/>
      <c r="UYL104" s="450"/>
      <c r="UYM104" s="450"/>
      <c r="UYN104" s="450"/>
      <c r="UYO104" s="450"/>
      <c r="UYP104" s="450"/>
      <c r="UYQ104" s="450"/>
      <c r="UYR104" s="450"/>
      <c r="UYS104" s="450"/>
      <c r="UYT104" s="450"/>
      <c r="UYU104" s="450"/>
      <c r="UYV104" s="450"/>
      <c r="UYW104" s="450"/>
      <c r="UYX104" s="450"/>
      <c r="UYY104" s="450"/>
      <c r="UYZ104" s="450"/>
      <c r="UZA104" s="450"/>
      <c r="UZB104" s="450"/>
      <c r="UZC104" s="450"/>
      <c r="UZD104" s="450"/>
      <c r="UZE104" s="450"/>
      <c r="UZF104" s="450"/>
      <c r="UZG104" s="450"/>
      <c r="UZH104" s="450"/>
      <c r="UZI104" s="450"/>
      <c r="UZJ104" s="450"/>
      <c r="UZK104" s="450"/>
      <c r="UZL104" s="450"/>
      <c r="UZM104" s="450"/>
      <c r="UZN104" s="450"/>
      <c r="UZO104" s="450"/>
      <c r="UZP104" s="450"/>
      <c r="UZQ104" s="450"/>
      <c r="UZR104" s="450"/>
      <c r="UZS104" s="450"/>
      <c r="UZT104" s="450"/>
      <c r="UZU104" s="450"/>
      <c r="UZV104" s="450"/>
      <c r="UZW104" s="450"/>
      <c r="UZX104" s="450"/>
      <c r="UZY104" s="450"/>
      <c r="UZZ104" s="450"/>
      <c r="VAA104" s="450"/>
      <c r="VAB104" s="450"/>
      <c r="VAC104" s="450"/>
      <c r="VAD104" s="450"/>
      <c r="VAE104" s="450"/>
      <c r="VAF104" s="450"/>
      <c r="VAG104" s="450"/>
      <c r="VAH104" s="450"/>
      <c r="VAI104" s="450"/>
      <c r="VAJ104" s="450"/>
      <c r="VAK104" s="450"/>
      <c r="VAL104" s="450"/>
      <c r="VAM104" s="450"/>
      <c r="VAN104" s="450"/>
      <c r="VAO104" s="450"/>
      <c r="VAP104" s="450"/>
      <c r="VAQ104" s="450"/>
      <c r="VAR104" s="450"/>
      <c r="VAS104" s="450"/>
      <c r="VAT104" s="450"/>
      <c r="VAU104" s="450"/>
      <c r="VAV104" s="450"/>
      <c r="VAW104" s="450"/>
      <c r="VAX104" s="450"/>
      <c r="VAY104" s="450"/>
      <c r="VAZ104" s="450"/>
      <c r="VBA104" s="450"/>
      <c r="VBB104" s="450"/>
      <c r="VBC104" s="450"/>
      <c r="VBD104" s="450"/>
      <c r="VBE104" s="450"/>
      <c r="VBF104" s="450"/>
      <c r="VBG104" s="450"/>
      <c r="VBH104" s="450"/>
      <c r="VBI104" s="450"/>
      <c r="VBJ104" s="450"/>
      <c r="VBK104" s="450"/>
      <c r="VBL104" s="450"/>
      <c r="VBM104" s="450"/>
      <c r="VBN104" s="450"/>
      <c r="VBO104" s="450"/>
      <c r="VBP104" s="450"/>
      <c r="VBQ104" s="450"/>
      <c r="VBR104" s="450"/>
      <c r="VBS104" s="450"/>
      <c r="VBT104" s="450"/>
      <c r="VBU104" s="450"/>
      <c r="VBV104" s="450"/>
      <c r="VBW104" s="450"/>
      <c r="VBX104" s="450"/>
      <c r="VBY104" s="450"/>
      <c r="VBZ104" s="450"/>
      <c r="VCA104" s="450"/>
      <c r="VCB104" s="450"/>
      <c r="VCC104" s="450"/>
      <c r="VCD104" s="450"/>
      <c r="VCE104" s="450"/>
      <c r="VCF104" s="450"/>
      <c r="VCG104" s="450"/>
      <c r="VCH104" s="450"/>
      <c r="VCI104" s="450"/>
      <c r="VCJ104" s="450"/>
      <c r="VCK104" s="450"/>
      <c r="VCL104" s="450"/>
      <c r="VCM104" s="450"/>
      <c r="VCN104" s="450"/>
      <c r="VCO104" s="450"/>
      <c r="VCP104" s="450"/>
      <c r="VCQ104" s="450"/>
      <c r="VCR104" s="450"/>
      <c r="VCS104" s="450"/>
      <c r="VCT104" s="450"/>
      <c r="VCU104" s="450"/>
      <c r="VCV104" s="450"/>
      <c r="VCW104" s="450"/>
      <c r="VCX104" s="450"/>
      <c r="VCY104" s="450"/>
      <c r="VCZ104" s="450"/>
      <c r="VDA104" s="450"/>
      <c r="VDB104" s="450"/>
      <c r="VDC104" s="450"/>
      <c r="VDD104" s="450"/>
      <c r="VDE104" s="450"/>
      <c r="VDF104" s="450"/>
      <c r="VDG104" s="450"/>
      <c r="VDH104" s="450"/>
      <c r="VDI104" s="450"/>
      <c r="VDJ104" s="450"/>
      <c r="VDK104" s="450"/>
      <c r="VDL104" s="450"/>
      <c r="VDM104" s="450"/>
      <c r="VDN104" s="450"/>
      <c r="VDO104" s="450"/>
      <c r="VDP104" s="450"/>
      <c r="VDQ104" s="450"/>
      <c r="VDR104" s="450"/>
      <c r="VDS104" s="450"/>
      <c r="VDT104" s="450"/>
      <c r="VDU104" s="450"/>
      <c r="VDV104" s="450"/>
      <c r="VDW104" s="450"/>
      <c r="VDX104" s="450"/>
      <c r="VDY104" s="450"/>
      <c r="VDZ104" s="450"/>
      <c r="VEA104" s="450"/>
      <c r="VEB104" s="450"/>
      <c r="VEC104" s="450"/>
      <c r="VED104" s="450"/>
      <c r="VEE104" s="450"/>
      <c r="VEF104" s="450"/>
      <c r="VEG104" s="450"/>
      <c r="VEH104" s="450"/>
      <c r="VEI104" s="450"/>
      <c r="VEJ104" s="450"/>
      <c r="VEK104" s="450"/>
      <c r="VEL104" s="450"/>
      <c r="VEM104" s="450"/>
      <c r="VEN104" s="450"/>
      <c r="VEO104" s="450"/>
      <c r="VEP104" s="450"/>
      <c r="VEQ104" s="450"/>
      <c r="VER104" s="450"/>
      <c r="VES104" s="450"/>
      <c r="VET104" s="450"/>
      <c r="VEU104" s="450"/>
      <c r="VEV104" s="450"/>
      <c r="VEW104" s="450"/>
      <c r="VEX104" s="450"/>
      <c r="VEY104" s="450"/>
      <c r="VEZ104" s="450"/>
      <c r="VFA104" s="450"/>
      <c r="VFB104" s="450"/>
      <c r="VFC104" s="450"/>
      <c r="VFD104" s="450"/>
      <c r="VFE104" s="450"/>
      <c r="VFF104" s="450"/>
      <c r="VFG104" s="450"/>
      <c r="VFH104" s="450"/>
      <c r="VFI104" s="450"/>
      <c r="VFJ104" s="450"/>
      <c r="VFK104" s="450"/>
      <c r="VFL104" s="450"/>
      <c r="VFM104" s="450"/>
      <c r="VFN104" s="450"/>
      <c r="VFO104" s="450"/>
      <c r="VFP104" s="450"/>
      <c r="VFQ104" s="450"/>
      <c r="VFR104" s="450"/>
      <c r="VFS104" s="450"/>
      <c r="VFT104" s="450"/>
      <c r="VFU104" s="450"/>
      <c r="VFV104" s="450"/>
      <c r="VFW104" s="450"/>
      <c r="VFX104" s="450"/>
      <c r="VFY104" s="450"/>
      <c r="VFZ104" s="450"/>
      <c r="VGA104" s="450"/>
      <c r="VGB104" s="450"/>
      <c r="VGC104" s="450"/>
      <c r="VGD104" s="450"/>
      <c r="VGE104" s="450"/>
      <c r="VGF104" s="450"/>
      <c r="VGG104" s="450"/>
      <c r="VGH104" s="450"/>
      <c r="VGI104" s="450"/>
      <c r="VGJ104" s="450"/>
      <c r="VGK104" s="450"/>
      <c r="VGL104" s="450"/>
      <c r="VGM104" s="450"/>
      <c r="VGN104" s="450"/>
      <c r="VGO104" s="450"/>
      <c r="VGP104" s="450"/>
      <c r="VGQ104" s="450"/>
      <c r="VGR104" s="450"/>
      <c r="VGS104" s="450"/>
      <c r="VGT104" s="450"/>
      <c r="VGU104" s="450"/>
      <c r="VGV104" s="450"/>
      <c r="VGW104" s="450"/>
      <c r="VGX104" s="450"/>
      <c r="VGY104" s="450"/>
      <c r="VGZ104" s="450"/>
      <c r="VHA104" s="450"/>
      <c r="VHB104" s="450"/>
      <c r="VHC104" s="450"/>
      <c r="VHD104" s="450"/>
      <c r="VHE104" s="450"/>
      <c r="VHF104" s="450"/>
      <c r="VHG104" s="450"/>
      <c r="VHH104" s="450"/>
      <c r="VHI104" s="450"/>
      <c r="VHJ104" s="450"/>
      <c r="VHK104" s="450"/>
      <c r="VHL104" s="450"/>
      <c r="VHM104" s="450"/>
      <c r="VHN104" s="450"/>
      <c r="VHO104" s="450"/>
      <c r="VHP104" s="450"/>
      <c r="VHQ104" s="450"/>
      <c r="VHR104" s="450"/>
      <c r="VHS104" s="450"/>
      <c r="VHT104" s="450"/>
      <c r="VHU104" s="450"/>
      <c r="VHV104" s="450"/>
      <c r="VHW104" s="450"/>
      <c r="VHX104" s="450"/>
      <c r="VHY104" s="450"/>
      <c r="VHZ104" s="450"/>
      <c r="VIA104" s="450"/>
      <c r="VIB104" s="450"/>
      <c r="VIC104" s="450"/>
      <c r="VID104" s="450"/>
      <c r="VIE104" s="450"/>
      <c r="VIF104" s="450"/>
      <c r="VIG104" s="450"/>
      <c r="VIH104" s="450"/>
      <c r="VII104" s="450"/>
      <c r="VIJ104" s="450"/>
      <c r="VIK104" s="450"/>
      <c r="VIL104" s="450"/>
      <c r="VIM104" s="450"/>
      <c r="VIN104" s="450"/>
      <c r="VIO104" s="450"/>
      <c r="VIP104" s="450"/>
      <c r="VIQ104" s="450"/>
      <c r="VIR104" s="450"/>
      <c r="VIS104" s="450"/>
      <c r="VIT104" s="450"/>
      <c r="VIU104" s="450"/>
      <c r="VIV104" s="450"/>
      <c r="VIW104" s="450"/>
      <c r="VIX104" s="450"/>
      <c r="VIY104" s="450"/>
      <c r="VIZ104" s="450"/>
      <c r="VJA104" s="450"/>
      <c r="VJB104" s="450"/>
      <c r="VJC104" s="450"/>
      <c r="VJD104" s="450"/>
      <c r="VJE104" s="450"/>
      <c r="VJF104" s="450"/>
      <c r="VJG104" s="450"/>
      <c r="VJH104" s="450"/>
      <c r="VJI104" s="450"/>
      <c r="VJJ104" s="450"/>
      <c r="VJK104" s="450"/>
      <c r="VJL104" s="450"/>
      <c r="VJM104" s="450"/>
      <c r="VJN104" s="450"/>
      <c r="VJO104" s="450"/>
      <c r="VJP104" s="450"/>
      <c r="VJQ104" s="450"/>
      <c r="VJR104" s="450"/>
      <c r="VJS104" s="450"/>
      <c r="VJT104" s="450"/>
      <c r="VJU104" s="450"/>
      <c r="VJV104" s="450"/>
      <c r="VJW104" s="450"/>
      <c r="VJX104" s="450"/>
      <c r="VJY104" s="450"/>
      <c r="VJZ104" s="450"/>
      <c r="VKA104" s="450"/>
      <c r="VKB104" s="450"/>
      <c r="VKC104" s="450"/>
      <c r="VKD104" s="450"/>
      <c r="VKE104" s="450"/>
      <c r="VKF104" s="450"/>
      <c r="VKG104" s="450"/>
      <c r="VKH104" s="450"/>
      <c r="VKI104" s="450"/>
      <c r="VKJ104" s="450"/>
      <c r="VKK104" s="450"/>
      <c r="VKL104" s="450"/>
      <c r="VKM104" s="450"/>
      <c r="VKN104" s="450"/>
      <c r="VKO104" s="450"/>
      <c r="VKP104" s="450"/>
      <c r="VKQ104" s="450"/>
      <c r="VKR104" s="450"/>
      <c r="VKS104" s="450"/>
      <c r="VKT104" s="450"/>
      <c r="VKU104" s="450"/>
      <c r="VKV104" s="450"/>
      <c r="VKW104" s="450"/>
      <c r="VKX104" s="450"/>
      <c r="VKY104" s="450"/>
      <c r="VKZ104" s="450"/>
      <c r="VLA104" s="450"/>
      <c r="VLB104" s="450"/>
      <c r="VLC104" s="450"/>
      <c r="VLD104" s="450"/>
      <c r="VLE104" s="450"/>
      <c r="VLF104" s="450"/>
      <c r="VLG104" s="450"/>
      <c r="VLH104" s="450"/>
      <c r="VLI104" s="450"/>
      <c r="VLJ104" s="450"/>
      <c r="VLK104" s="450"/>
      <c r="VLL104" s="450"/>
      <c r="VLM104" s="450"/>
      <c r="VLN104" s="450"/>
      <c r="VLO104" s="450"/>
      <c r="VLP104" s="450"/>
      <c r="VLQ104" s="450"/>
      <c r="VLR104" s="450"/>
      <c r="VLS104" s="450"/>
      <c r="VLT104" s="450"/>
      <c r="VLU104" s="450"/>
      <c r="VLV104" s="450"/>
      <c r="VLW104" s="450"/>
      <c r="VLX104" s="450"/>
      <c r="VLY104" s="450"/>
      <c r="VLZ104" s="450"/>
      <c r="VMA104" s="450"/>
      <c r="VMB104" s="450"/>
      <c r="VMC104" s="450"/>
      <c r="VMD104" s="450"/>
      <c r="VME104" s="450"/>
      <c r="VMF104" s="450"/>
      <c r="VMG104" s="450"/>
      <c r="VMH104" s="450"/>
      <c r="VMI104" s="450"/>
      <c r="VMJ104" s="450"/>
      <c r="VMK104" s="450"/>
      <c r="VML104" s="450"/>
      <c r="VMM104" s="450"/>
      <c r="VMN104" s="450"/>
      <c r="VMO104" s="450"/>
      <c r="VMP104" s="450"/>
      <c r="VMQ104" s="450"/>
      <c r="VMR104" s="450"/>
      <c r="VMS104" s="450"/>
      <c r="VMT104" s="450"/>
      <c r="VMU104" s="450"/>
      <c r="VMV104" s="450"/>
      <c r="VMW104" s="450"/>
      <c r="VMX104" s="450"/>
      <c r="VMY104" s="450"/>
      <c r="VMZ104" s="450"/>
      <c r="VNA104" s="450"/>
      <c r="VNB104" s="450"/>
      <c r="VNC104" s="450"/>
      <c r="VND104" s="450"/>
      <c r="VNE104" s="450"/>
      <c r="VNF104" s="450"/>
      <c r="VNG104" s="450"/>
      <c r="VNH104" s="450"/>
      <c r="VNI104" s="450"/>
      <c r="VNJ104" s="450"/>
      <c r="VNK104" s="450"/>
      <c r="VNL104" s="450"/>
      <c r="VNM104" s="450"/>
      <c r="VNN104" s="450"/>
      <c r="VNO104" s="450"/>
      <c r="VNP104" s="450"/>
      <c r="VNQ104" s="450"/>
      <c r="VNR104" s="450"/>
      <c r="VNS104" s="450"/>
      <c r="VNT104" s="450"/>
      <c r="VNU104" s="450"/>
      <c r="VNV104" s="450"/>
      <c r="VNW104" s="450"/>
      <c r="VNX104" s="450"/>
      <c r="VNY104" s="450"/>
      <c r="VNZ104" s="450"/>
      <c r="VOA104" s="450"/>
      <c r="VOB104" s="450"/>
      <c r="VOC104" s="450"/>
      <c r="VOD104" s="450"/>
      <c r="VOE104" s="450"/>
      <c r="VOF104" s="450"/>
      <c r="VOG104" s="450"/>
      <c r="VOH104" s="450"/>
      <c r="VOI104" s="450"/>
      <c r="VOJ104" s="450"/>
      <c r="VOK104" s="450"/>
      <c r="VOL104" s="450"/>
      <c r="VOM104" s="450"/>
      <c r="VON104" s="450"/>
      <c r="VOO104" s="450"/>
      <c r="VOP104" s="450"/>
      <c r="VOQ104" s="450"/>
      <c r="VOR104" s="450"/>
      <c r="VOS104" s="450"/>
      <c r="VOT104" s="450"/>
      <c r="VOU104" s="450"/>
      <c r="VOV104" s="450"/>
      <c r="VOW104" s="450"/>
      <c r="VOX104" s="450"/>
      <c r="VOY104" s="450"/>
      <c r="VOZ104" s="450"/>
      <c r="VPA104" s="450"/>
      <c r="VPB104" s="450"/>
      <c r="VPC104" s="450"/>
      <c r="VPD104" s="450"/>
      <c r="VPE104" s="450"/>
      <c r="VPF104" s="450"/>
      <c r="VPG104" s="450"/>
      <c r="VPH104" s="450"/>
      <c r="VPI104" s="450"/>
      <c r="VPJ104" s="450"/>
      <c r="VPK104" s="450"/>
      <c r="VPL104" s="450"/>
      <c r="VPM104" s="450"/>
      <c r="VPN104" s="450"/>
      <c r="VPO104" s="450"/>
      <c r="VPP104" s="450"/>
      <c r="VPQ104" s="450"/>
      <c r="VPR104" s="450"/>
      <c r="VPS104" s="450"/>
      <c r="VPT104" s="450"/>
      <c r="VPU104" s="450"/>
      <c r="VPV104" s="450"/>
      <c r="VPW104" s="450"/>
      <c r="VPX104" s="450"/>
      <c r="VPY104" s="450"/>
      <c r="VPZ104" s="450"/>
      <c r="VQA104" s="450"/>
      <c r="VQB104" s="450"/>
      <c r="VQC104" s="450"/>
      <c r="VQD104" s="450"/>
      <c r="VQE104" s="450"/>
      <c r="VQF104" s="450"/>
      <c r="VQG104" s="450"/>
      <c r="VQH104" s="450"/>
      <c r="VQI104" s="450"/>
      <c r="VQJ104" s="450"/>
      <c r="VQK104" s="450"/>
      <c r="VQL104" s="450"/>
      <c r="VQM104" s="450"/>
      <c r="VQN104" s="450"/>
      <c r="VQO104" s="450"/>
      <c r="VQP104" s="450"/>
      <c r="VQQ104" s="450"/>
      <c r="VQR104" s="450"/>
      <c r="VQS104" s="450"/>
      <c r="VQT104" s="450"/>
      <c r="VQU104" s="450"/>
      <c r="VQV104" s="450"/>
      <c r="VQW104" s="450"/>
      <c r="VQX104" s="450"/>
      <c r="VQY104" s="450"/>
      <c r="VQZ104" s="450"/>
      <c r="VRA104" s="450"/>
      <c r="VRB104" s="450"/>
      <c r="VRC104" s="450"/>
      <c r="VRD104" s="450"/>
      <c r="VRE104" s="450"/>
      <c r="VRF104" s="450"/>
      <c r="VRG104" s="450"/>
      <c r="VRH104" s="450"/>
      <c r="VRI104" s="450"/>
      <c r="VRJ104" s="450"/>
      <c r="VRK104" s="450"/>
      <c r="VRL104" s="450"/>
      <c r="VRM104" s="450"/>
      <c r="VRN104" s="450"/>
      <c r="VRO104" s="450"/>
      <c r="VRP104" s="450"/>
      <c r="VRQ104" s="450"/>
      <c r="VRR104" s="450"/>
      <c r="VRS104" s="450"/>
      <c r="VRT104" s="450"/>
      <c r="VRU104" s="450"/>
      <c r="VRV104" s="450"/>
      <c r="VRW104" s="450"/>
      <c r="VRX104" s="450"/>
      <c r="VRY104" s="450"/>
      <c r="VRZ104" s="450"/>
      <c r="VSA104" s="450"/>
      <c r="VSB104" s="450"/>
      <c r="VSC104" s="450"/>
      <c r="VSD104" s="450"/>
      <c r="VSE104" s="450"/>
      <c r="VSF104" s="450"/>
      <c r="VSG104" s="450"/>
      <c r="VSH104" s="450"/>
      <c r="VSI104" s="450"/>
      <c r="VSJ104" s="450"/>
      <c r="VSK104" s="450"/>
      <c r="VSL104" s="450"/>
      <c r="VSM104" s="450"/>
      <c r="VSN104" s="450"/>
      <c r="VSO104" s="450"/>
      <c r="VSP104" s="450"/>
      <c r="VSQ104" s="450"/>
      <c r="VSR104" s="450"/>
      <c r="VSS104" s="450"/>
      <c r="VST104" s="450"/>
      <c r="VSU104" s="450"/>
      <c r="VSV104" s="450"/>
      <c r="VSW104" s="450"/>
      <c r="VSX104" s="450"/>
      <c r="VSY104" s="450"/>
      <c r="VSZ104" s="450"/>
      <c r="VTA104" s="450"/>
      <c r="VTB104" s="450"/>
      <c r="VTC104" s="450"/>
      <c r="VTD104" s="450"/>
      <c r="VTE104" s="450"/>
      <c r="VTF104" s="450"/>
      <c r="VTG104" s="450"/>
      <c r="VTH104" s="450"/>
      <c r="VTI104" s="450"/>
      <c r="VTJ104" s="450"/>
      <c r="VTK104" s="450"/>
      <c r="VTL104" s="450"/>
      <c r="VTM104" s="450"/>
      <c r="VTN104" s="450"/>
      <c r="VTO104" s="450"/>
      <c r="VTP104" s="450"/>
      <c r="VTQ104" s="450"/>
      <c r="VTR104" s="450"/>
      <c r="VTS104" s="450"/>
      <c r="VTT104" s="450"/>
      <c r="VTU104" s="450"/>
      <c r="VTV104" s="450"/>
      <c r="VTW104" s="450"/>
      <c r="VTX104" s="450"/>
      <c r="VTY104" s="450"/>
      <c r="VTZ104" s="450"/>
      <c r="VUA104" s="450"/>
      <c r="VUB104" s="450"/>
      <c r="VUC104" s="450"/>
      <c r="VUD104" s="450"/>
      <c r="VUE104" s="450"/>
      <c r="VUF104" s="450"/>
      <c r="VUG104" s="450"/>
      <c r="VUH104" s="450"/>
      <c r="VUI104" s="450"/>
      <c r="VUJ104" s="450"/>
      <c r="VUK104" s="450"/>
      <c r="VUL104" s="450"/>
      <c r="VUM104" s="450"/>
      <c r="VUN104" s="450"/>
      <c r="VUO104" s="450"/>
      <c r="VUP104" s="450"/>
      <c r="VUQ104" s="450"/>
      <c r="VUR104" s="450"/>
      <c r="VUS104" s="450"/>
      <c r="VUT104" s="450"/>
      <c r="VUU104" s="450"/>
      <c r="VUV104" s="450"/>
      <c r="VUW104" s="450"/>
      <c r="VUX104" s="450"/>
      <c r="VUY104" s="450"/>
      <c r="VUZ104" s="450"/>
      <c r="VVA104" s="450"/>
      <c r="VVB104" s="450"/>
      <c r="VVC104" s="450"/>
      <c r="VVD104" s="450"/>
      <c r="VVE104" s="450"/>
      <c r="VVF104" s="450"/>
      <c r="VVG104" s="450"/>
      <c r="VVH104" s="450"/>
      <c r="VVI104" s="450"/>
      <c r="VVJ104" s="450"/>
      <c r="VVK104" s="450"/>
      <c r="VVL104" s="450"/>
      <c r="VVM104" s="450"/>
      <c r="VVN104" s="450"/>
      <c r="VVO104" s="450"/>
      <c r="VVP104" s="450"/>
      <c r="VVQ104" s="450"/>
      <c r="VVR104" s="450"/>
      <c r="VVS104" s="450"/>
      <c r="VVT104" s="450"/>
      <c r="VVU104" s="450"/>
      <c r="VVV104" s="450"/>
      <c r="VVW104" s="450"/>
      <c r="VVX104" s="450"/>
      <c r="VVY104" s="450"/>
      <c r="VVZ104" s="450"/>
      <c r="VWA104" s="450"/>
      <c r="VWB104" s="450"/>
      <c r="VWC104" s="450"/>
      <c r="VWD104" s="450"/>
      <c r="VWE104" s="450"/>
      <c r="VWF104" s="450"/>
      <c r="VWG104" s="450"/>
      <c r="VWH104" s="450"/>
      <c r="VWI104" s="450"/>
      <c r="VWJ104" s="450"/>
      <c r="VWK104" s="450"/>
      <c r="VWL104" s="450"/>
      <c r="VWM104" s="450"/>
      <c r="VWN104" s="450"/>
      <c r="VWO104" s="450"/>
      <c r="VWP104" s="450"/>
      <c r="VWQ104" s="450"/>
      <c r="VWR104" s="450"/>
      <c r="VWS104" s="450"/>
      <c r="VWT104" s="450"/>
      <c r="VWU104" s="450"/>
      <c r="VWV104" s="450"/>
      <c r="VWW104" s="450"/>
      <c r="VWX104" s="450"/>
      <c r="VWY104" s="450"/>
      <c r="VWZ104" s="450"/>
      <c r="VXA104" s="450"/>
      <c r="VXB104" s="450"/>
      <c r="VXC104" s="450"/>
      <c r="VXD104" s="450"/>
      <c r="VXE104" s="450"/>
      <c r="VXF104" s="450"/>
      <c r="VXG104" s="450"/>
      <c r="VXH104" s="450"/>
      <c r="VXI104" s="450"/>
      <c r="VXJ104" s="450"/>
      <c r="VXK104" s="450"/>
      <c r="VXL104" s="450"/>
      <c r="VXM104" s="450"/>
      <c r="VXN104" s="450"/>
      <c r="VXO104" s="450"/>
      <c r="VXP104" s="450"/>
      <c r="VXQ104" s="450"/>
      <c r="VXR104" s="450"/>
      <c r="VXS104" s="450"/>
      <c r="VXT104" s="450"/>
      <c r="VXU104" s="450"/>
      <c r="VXV104" s="450"/>
      <c r="VXW104" s="450"/>
      <c r="VXX104" s="450"/>
      <c r="VXY104" s="450"/>
      <c r="VXZ104" s="450"/>
      <c r="VYA104" s="450"/>
      <c r="VYB104" s="450"/>
      <c r="VYC104" s="450"/>
      <c r="VYD104" s="450"/>
      <c r="VYE104" s="450"/>
      <c r="VYF104" s="450"/>
      <c r="VYG104" s="450"/>
      <c r="VYH104" s="450"/>
      <c r="VYI104" s="450"/>
      <c r="VYJ104" s="450"/>
      <c r="VYK104" s="450"/>
      <c r="VYL104" s="450"/>
      <c r="VYM104" s="450"/>
      <c r="VYN104" s="450"/>
      <c r="VYO104" s="450"/>
      <c r="VYP104" s="450"/>
      <c r="VYQ104" s="450"/>
      <c r="VYR104" s="450"/>
      <c r="VYS104" s="450"/>
      <c r="VYT104" s="450"/>
      <c r="VYU104" s="450"/>
      <c r="VYV104" s="450"/>
      <c r="VYW104" s="450"/>
      <c r="VYX104" s="450"/>
      <c r="VYY104" s="450"/>
      <c r="VYZ104" s="450"/>
      <c r="VZA104" s="450"/>
      <c r="VZB104" s="450"/>
      <c r="VZC104" s="450"/>
      <c r="VZD104" s="450"/>
      <c r="VZE104" s="450"/>
      <c r="VZF104" s="450"/>
      <c r="VZG104" s="450"/>
      <c r="VZH104" s="450"/>
      <c r="VZI104" s="450"/>
      <c r="VZJ104" s="450"/>
      <c r="VZK104" s="450"/>
      <c r="VZL104" s="450"/>
      <c r="VZM104" s="450"/>
      <c r="VZN104" s="450"/>
      <c r="VZO104" s="450"/>
      <c r="VZP104" s="450"/>
      <c r="VZQ104" s="450"/>
      <c r="VZR104" s="450"/>
      <c r="VZS104" s="450"/>
      <c r="VZT104" s="450"/>
      <c r="VZU104" s="450"/>
      <c r="VZV104" s="450"/>
      <c r="VZW104" s="450"/>
      <c r="VZX104" s="450"/>
      <c r="VZY104" s="450"/>
      <c r="VZZ104" s="450"/>
      <c r="WAA104" s="450"/>
      <c r="WAB104" s="450"/>
      <c r="WAC104" s="450"/>
      <c r="WAD104" s="450"/>
      <c r="WAE104" s="450"/>
      <c r="WAF104" s="450"/>
      <c r="WAG104" s="450"/>
      <c r="WAH104" s="450"/>
      <c r="WAI104" s="450"/>
      <c r="WAJ104" s="450"/>
      <c r="WAK104" s="450"/>
      <c r="WAL104" s="450"/>
      <c r="WAM104" s="450"/>
      <c r="WAN104" s="450"/>
      <c r="WAO104" s="450"/>
      <c r="WAP104" s="450"/>
      <c r="WAQ104" s="450"/>
      <c r="WAR104" s="450"/>
      <c r="WAS104" s="450"/>
      <c r="WAT104" s="450"/>
      <c r="WAU104" s="450"/>
      <c r="WAV104" s="450"/>
      <c r="WAW104" s="450"/>
      <c r="WAX104" s="450"/>
      <c r="WAY104" s="450"/>
      <c r="WAZ104" s="450"/>
      <c r="WBA104" s="450"/>
      <c r="WBB104" s="450"/>
      <c r="WBC104" s="450"/>
      <c r="WBD104" s="450"/>
      <c r="WBE104" s="450"/>
      <c r="WBF104" s="450"/>
      <c r="WBG104" s="450"/>
      <c r="WBH104" s="450"/>
      <c r="WBI104" s="450"/>
      <c r="WBJ104" s="450"/>
      <c r="WBK104" s="450"/>
      <c r="WBL104" s="450"/>
      <c r="WBM104" s="450"/>
      <c r="WBN104" s="450"/>
      <c r="WBO104" s="450"/>
      <c r="WBP104" s="450"/>
      <c r="WBQ104" s="450"/>
      <c r="WBR104" s="450"/>
      <c r="WBS104" s="450"/>
      <c r="WBT104" s="450"/>
      <c r="WBU104" s="450"/>
      <c r="WBV104" s="450"/>
      <c r="WBW104" s="450"/>
      <c r="WBX104" s="450"/>
      <c r="WBY104" s="450"/>
      <c r="WBZ104" s="450"/>
      <c r="WCA104" s="450"/>
      <c r="WCB104" s="450"/>
      <c r="WCC104" s="450"/>
      <c r="WCD104" s="450"/>
      <c r="WCE104" s="450"/>
      <c r="WCF104" s="450"/>
      <c r="WCG104" s="450"/>
      <c r="WCH104" s="450"/>
      <c r="WCI104" s="450"/>
      <c r="WCJ104" s="450"/>
      <c r="WCK104" s="450"/>
      <c r="WCL104" s="450"/>
      <c r="WCM104" s="450"/>
      <c r="WCN104" s="450"/>
      <c r="WCO104" s="450"/>
      <c r="WCP104" s="450"/>
      <c r="WCQ104" s="450"/>
      <c r="WCR104" s="450"/>
      <c r="WCS104" s="450"/>
      <c r="WCT104" s="450"/>
      <c r="WCU104" s="450"/>
      <c r="WCV104" s="450"/>
      <c r="WCW104" s="450"/>
      <c r="WCX104" s="450"/>
      <c r="WCY104" s="450"/>
      <c r="WCZ104" s="450"/>
      <c r="WDA104" s="450"/>
      <c r="WDB104" s="450"/>
      <c r="WDC104" s="450"/>
      <c r="WDD104" s="450"/>
      <c r="WDE104" s="450"/>
      <c r="WDF104" s="450"/>
      <c r="WDG104" s="450"/>
      <c r="WDH104" s="450"/>
      <c r="WDI104" s="450"/>
      <c r="WDJ104" s="450"/>
      <c r="WDK104" s="450"/>
      <c r="WDL104" s="450"/>
      <c r="WDM104" s="450"/>
      <c r="WDN104" s="450"/>
      <c r="WDO104" s="450"/>
      <c r="WDP104" s="450"/>
      <c r="WDQ104" s="450"/>
      <c r="WDR104" s="450"/>
      <c r="WDS104" s="450"/>
      <c r="WDT104" s="450"/>
      <c r="WDU104" s="450"/>
      <c r="WDV104" s="450"/>
      <c r="WDW104" s="450"/>
      <c r="WDX104" s="450"/>
      <c r="WDY104" s="450"/>
      <c r="WDZ104" s="450"/>
      <c r="WEA104" s="450"/>
      <c r="WEB104" s="450"/>
      <c r="WEC104" s="450"/>
      <c r="WED104" s="450"/>
      <c r="WEE104" s="450"/>
      <c r="WEF104" s="450"/>
      <c r="WEG104" s="450"/>
      <c r="WEH104" s="450"/>
      <c r="WEI104" s="450"/>
      <c r="WEJ104" s="450"/>
      <c r="WEK104" s="450"/>
      <c r="WEL104" s="450"/>
      <c r="WEM104" s="450"/>
      <c r="WEN104" s="450"/>
      <c r="WEO104" s="450"/>
      <c r="WEP104" s="450"/>
      <c r="WEQ104" s="450"/>
      <c r="WER104" s="450"/>
      <c r="WES104" s="450"/>
      <c r="WET104" s="450"/>
      <c r="WEU104" s="450"/>
      <c r="WEV104" s="450"/>
      <c r="WEW104" s="450"/>
      <c r="WEX104" s="450"/>
      <c r="WEY104" s="450"/>
      <c r="WEZ104" s="450"/>
      <c r="WFA104" s="450"/>
      <c r="WFB104" s="450"/>
      <c r="WFC104" s="450"/>
      <c r="WFD104" s="450"/>
      <c r="WFE104" s="450"/>
      <c r="WFF104" s="450"/>
      <c r="WFG104" s="450"/>
      <c r="WFH104" s="450"/>
      <c r="WFI104" s="450"/>
      <c r="WFJ104" s="450"/>
      <c r="WFK104" s="450"/>
      <c r="WFL104" s="450"/>
      <c r="WFM104" s="450"/>
      <c r="WFN104" s="450"/>
      <c r="WFO104" s="450"/>
      <c r="WFP104" s="450"/>
      <c r="WFQ104" s="450"/>
      <c r="WFR104" s="450"/>
      <c r="WFS104" s="450"/>
      <c r="WFT104" s="450"/>
      <c r="WFU104" s="450"/>
      <c r="WFV104" s="450"/>
      <c r="WFW104" s="450"/>
      <c r="WFX104" s="450"/>
      <c r="WFY104" s="450"/>
      <c r="WFZ104" s="450"/>
      <c r="WGA104" s="450"/>
      <c r="WGB104" s="450"/>
      <c r="WGC104" s="450"/>
      <c r="WGD104" s="450"/>
      <c r="WGE104" s="450"/>
      <c r="WGF104" s="450"/>
      <c r="WGG104" s="450"/>
      <c r="WGH104" s="450"/>
      <c r="WGI104" s="450"/>
      <c r="WGJ104" s="450"/>
      <c r="WGK104" s="450"/>
      <c r="WGL104" s="450"/>
      <c r="WGM104" s="450"/>
      <c r="WGN104" s="450"/>
      <c r="WGO104" s="450"/>
      <c r="WGP104" s="450"/>
      <c r="WGQ104" s="450"/>
      <c r="WGR104" s="450"/>
      <c r="WGS104" s="450"/>
      <c r="WGT104" s="450"/>
      <c r="WGU104" s="450"/>
      <c r="WGV104" s="450"/>
      <c r="WGW104" s="450"/>
      <c r="WGX104" s="450"/>
      <c r="WGY104" s="450"/>
      <c r="WGZ104" s="450"/>
      <c r="WHA104" s="450"/>
      <c r="WHB104" s="450"/>
      <c r="WHC104" s="450"/>
      <c r="WHD104" s="450"/>
      <c r="WHE104" s="450"/>
      <c r="WHF104" s="450"/>
      <c r="WHG104" s="450"/>
      <c r="WHH104" s="450"/>
      <c r="WHI104" s="450"/>
      <c r="WHJ104" s="450"/>
      <c r="WHK104" s="450"/>
      <c r="WHL104" s="450"/>
      <c r="WHM104" s="450"/>
      <c r="WHN104" s="450"/>
      <c r="WHO104" s="450"/>
      <c r="WHP104" s="450"/>
      <c r="WHQ104" s="450"/>
      <c r="WHR104" s="450"/>
      <c r="WHS104" s="450"/>
      <c r="WHT104" s="450"/>
      <c r="WHU104" s="450"/>
      <c r="WHV104" s="450"/>
      <c r="WHW104" s="450"/>
      <c r="WHX104" s="450"/>
      <c r="WHY104" s="450"/>
      <c r="WHZ104" s="450"/>
      <c r="WIA104" s="450"/>
      <c r="WIB104" s="450"/>
      <c r="WIC104" s="450"/>
      <c r="WID104" s="450"/>
      <c r="WIE104" s="450"/>
      <c r="WIF104" s="450"/>
      <c r="WIG104" s="450"/>
      <c r="WIH104" s="450"/>
      <c r="WII104" s="450"/>
      <c r="WIJ104" s="450"/>
      <c r="WIK104" s="450"/>
      <c r="WIL104" s="450"/>
      <c r="WIM104" s="450"/>
      <c r="WIN104" s="450"/>
      <c r="WIO104" s="450"/>
      <c r="WIP104" s="450"/>
      <c r="WIQ104" s="450"/>
      <c r="WIR104" s="450"/>
      <c r="WIS104" s="450"/>
      <c r="WIT104" s="450"/>
      <c r="WIU104" s="450"/>
      <c r="WIV104" s="450"/>
      <c r="WIW104" s="450"/>
      <c r="WIX104" s="450"/>
      <c r="WIY104" s="450"/>
      <c r="WIZ104" s="450"/>
      <c r="WJA104" s="450"/>
      <c r="WJB104" s="450"/>
      <c r="WJC104" s="450"/>
      <c r="WJD104" s="450"/>
      <c r="WJE104" s="450"/>
      <c r="WJF104" s="450"/>
      <c r="WJG104" s="450"/>
      <c r="WJH104" s="450"/>
      <c r="WJI104" s="450"/>
      <c r="WJJ104" s="450"/>
      <c r="WJK104" s="450"/>
      <c r="WJL104" s="450"/>
      <c r="WJM104" s="450"/>
      <c r="WJN104" s="450"/>
      <c r="WJO104" s="450"/>
      <c r="WJP104" s="450"/>
      <c r="WJQ104" s="450"/>
      <c r="WJR104" s="450"/>
      <c r="WJS104" s="450"/>
      <c r="WJT104" s="450"/>
      <c r="WJU104" s="450"/>
      <c r="WJV104" s="450"/>
      <c r="WJW104" s="450"/>
      <c r="WJX104" s="450"/>
      <c r="WJY104" s="450"/>
      <c r="WJZ104" s="450"/>
      <c r="WKA104" s="450"/>
      <c r="WKB104" s="450"/>
      <c r="WKC104" s="450"/>
      <c r="WKD104" s="450"/>
      <c r="WKE104" s="450"/>
      <c r="WKF104" s="450"/>
      <c r="WKG104" s="450"/>
      <c r="WKH104" s="450"/>
      <c r="WKI104" s="450"/>
      <c r="WKJ104" s="450"/>
      <c r="WKK104" s="450"/>
      <c r="WKL104" s="450"/>
      <c r="WKM104" s="450"/>
      <c r="WKN104" s="450"/>
      <c r="WKO104" s="450"/>
      <c r="WKP104" s="450"/>
      <c r="WKQ104" s="450"/>
      <c r="WKR104" s="450"/>
      <c r="WKS104" s="450"/>
      <c r="WKT104" s="450"/>
      <c r="WKU104" s="450"/>
      <c r="WKV104" s="450"/>
      <c r="WKW104" s="450"/>
      <c r="WKX104" s="450"/>
      <c r="WKY104" s="450"/>
      <c r="WKZ104" s="450"/>
      <c r="WLA104" s="450"/>
      <c r="WLB104" s="450"/>
      <c r="WLC104" s="450"/>
      <c r="WLD104" s="450"/>
      <c r="WLE104" s="450"/>
      <c r="WLF104" s="450"/>
      <c r="WLG104" s="450"/>
      <c r="WLH104" s="450"/>
      <c r="WLI104" s="450"/>
      <c r="WLJ104" s="450"/>
      <c r="WLK104" s="450"/>
      <c r="WLL104" s="450"/>
      <c r="WLM104" s="450"/>
      <c r="WLN104" s="450"/>
      <c r="WLO104" s="450"/>
      <c r="WLP104" s="450"/>
      <c r="WLQ104" s="450"/>
      <c r="WLR104" s="450"/>
      <c r="WLS104" s="450"/>
      <c r="WLT104" s="450"/>
      <c r="WLU104" s="450"/>
      <c r="WLV104" s="450"/>
      <c r="WLW104" s="450"/>
      <c r="WLX104" s="450"/>
      <c r="WLY104" s="450"/>
      <c r="WLZ104" s="450"/>
      <c r="WMA104" s="450"/>
      <c r="WMB104" s="450"/>
      <c r="WMC104" s="450"/>
      <c r="WMD104" s="450"/>
      <c r="WME104" s="450"/>
      <c r="WMF104" s="450"/>
      <c r="WMG104" s="450"/>
      <c r="WMH104" s="450"/>
      <c r="WMI104" s="450"/>
      <c r="WMJ104" s="450"/>
      <c r="WMK104" s="450"/>
      <c r="WML104" s="450"/>
      <c r="WMM104" s="450"/>
      <c r="WMN104" s="450"/>
      <c r="WMO104" s="450"/>
      <c r="WMP104" s="450"/>
      <c r="WMQ104" s="450"/>
      <c r="WMR104" s="450"/>
      <c r="WMS104" s="450"/>
      <c r="WMT104" s="450"/>
      <c r="WMU104" s="450"/>
      <c r="WMV104" s="450"/>
      <c r="WMW104" s="450"/>
      <c r="WMX104" s="450"/>
      <c r="WMY104" s="450"/>
      <c r="WMZ104" s="450"/>
      <c r="WNA104" s="450"/>
      <c r="WNB104" s="450"/>
      <c r="WNC104" s="450"/>
      <c r="WND104" s="450"/>
      <c r="WNE104" s="450"/>
      <c r="WNF104" s="450"/>
      <c r="WNG104" s="450"/>
      <c r="WNH104" s="450"/>
      <c r="WNI104" s="450"/>
      <c r="WNJ104" s="450"/>
      <c r="WNK104" s="450"/>
      <c r="WNL104" s="450"/>
      <c r="WNM104" s="450"/>
      <c r="WNN104" s="450"/>
      <c r="WNO104" s="450"/>
      <c r="WNP104" s="450"/>
      <c r="WNQ104" s="450"/>
      <c r="WNR104" s="450"/>
      <c r="WNS104" s="450"/>
      <c r="WNT104" s="450"/>
      <c r="WNU104" s="450"/>
      <c r="WNV104" s="450"/>
      <c r="WNW104" s="450"/>
      <c r="WNX104" s="450"/>
      <c r="WNY104" s="450"/>
      <c r="WNZ104" s="450"/>
      <c r="WOA104" s="450"/>
      <c r="WOB104" s="450"/>
      <c r="WOC104" s="450"/>
      <c r="WOD104" s="450"/>
      <c r="WOE104" s="450"/>
      <c r="WOF104" s="450"/>
      <c r="WOG104" s="450"/>
      <c r="WOH104" s="450"/>
      <c r="WOI104" s="450"/>
      <c r="WOJ104" s="450"/>
      <c r="WOK104" s="450"/>
      <c r="WOL104" s="450"/>
      <c r="WOM104" s="450"/>
      <c r="WON104" s="450"/>
      <c r="WOO104" s="450"/>
      <c r="WOP104" s="450"/>
      <c r="WOQ104" s="450"/>
      <c r="WOR104" s="450"/>
      <c r="WOS104" s="450"/>
      <c r="WOT104" s="450"/>
      <c r="WOU104" s="450"/>
      <c r="WOV104" s="450"/>
      <c r="WOW104" s="450"/>
      <c r="WOX104" s="450"/>
      <c r="WOY104" s="450"/>
      <c r="WOZ104" s="450"/>
      <c r="WPA104" s="450"/>
      <c r="WPB104" s="450"/>
      <c r="WPC104" s="450"/>
      <c r="WPD104" s="450"/>
      <c r="WPE104" s="450"/>
      <c r="WPF104" s="450"/>
      <c r="WPG104" s="450"/>
      <c r="WPH104" s="450"/>
      <c r="WPI104" s="450"/>
      <c r="WPJ104" s="450"/>
      <c r="WPK104" s="450"/>
      <c r="WPL104" s="450"/>
      <c r="WPM104" s="450"/>
      <c r="WPN104" s="450"/>
      <c r="WPO104" s="450"/>
      <c r="WPP104" s="450"/>
      <c r="WPQ104" s="450"/>
      <c r="WPR104" s="450"/>
      <c r="WPS104" s="450"/>
      <c r="WPT104" s="450"/>
      <c r="WPU104" s="450"/>
      <c r="WPV104" s="450"/>
      <c r="WPW104" s="450"/>
      <c r="WPX104" s="450"/>
      <c r="WPY104" s="450"/>
      <c r="WPZ104" s="450"/>
      <c r="WQA104" s="450"/>
      <c r="WQB104" s="450"/>
      <c r="WQC104" s="450"/>
      <c r="WQD104" s="450"/>
      <c r="WQE104" s="450"/>
      <c r="WQF104" s="450"/>
      <c r="WQG104" s="450"/>
      <c r="WQH104" s="450"/>
      <c r="WQI104" s="450"/>
      <c r="WQJ104" s="450"/>
      <c r="WQK104" s="450"/>
      <c r="WQL104" s="450"/>
      <c r="WQM104" s="450"/>
      <c r="WQN104" s="450"/>
      <c r="WQO104" s="450"/>
      <c r="WQP104" s="450"/>
      <c r="WQQ104" s="450"/>
      <c r="WQR104" s="450"/>
      <c r="WQS104" s="450"/>
      <c r="WQT104" s="450"/>
      <c r="WQU104" s="450"/>
      <c r="WQV104" s="450"/>
      <c r="WQW104" s="450"/>
      <c r="WQX104" s="450"/>
      <c r="WQY104" s="450"/>
      <c r="WQZ104" s="450"/>
      <c r="WRA104" s="450"/>
      <c r="WRB104" s="450"/>
      <c r="WRC104" s="450"/>
      <c r="WRD104" s="450"/>
      <c r="WRE104" s="450"/>
      <c r="WRF104" s="450"/>
      <c r="WRG104" s="450"/>
      <c r="WRH104" s="450"/>
      <c r="WRI104" s="450"/>
      <c r="WRJ104" s="450"/>
      <c r="WRK104" s="450"/>
      <c r="WRL104" s="450"/>
      <c r="WRM104" s="450"/>
      <c r="WRN104" s="450"/>
      <c r="WRO104" s="450"/>
      <c r="WRP104" s="450"/>
      <c r="WRQ104" s="450"/>
      <c r="WRR104" s="450"/>
      <c r="WRS104" s="450"/>
      <c r="WRT104" s="450"/>
      <c r="WRU104" s="450"/>
      <c r="WRV104" s="450"/>
      <c r="WRW104" s="450"/>
      <c r="WRX104" s="450"/>
      <c r="WRY104" s="450"/>
      <c r="WRZ104" s="450"/>
      <c r="WSA104" s="450"/>
      <c r="WSB104" s="450"/>
      <c r="WSC104" s="450"/>
      <c r="WSD104" s="450"/>
      <c r="WSE104" s="450"/>
      <c r="WSF104" s="450"/>
      <c r="WSG104" s="450"/>
      <c r="WSH104" s="450"/>
      <c r="WSI104" s="450"/>
      <c r="WSJ104" s="450"/>
      <c r="WSK104" s="450"/>
      <c r="WSL104" s="450"/>
      <c r="WSM104" s="450"/>
      <c r="WSN104" s="450"/>
      <c r="WSO104" s="450"/>
      <c r="WSP104" s="450"/>
      <c r="WSQ104" s="450"/>
      <c r="WSR104" s="450"/>
      <c r="WSS104" s="450"/>
      <c r="WST104" s="450"/>
      <c r="WSU104" s="450"/>
      <c r="WSV104" s="450"/>
      <c r="WSW104" s="450"/>
      <c r="WSX104" s="450"/>
      <c r="WSY104" s="450"/>
      <c r="WSZ104" s="450"/>
      <c r="WTA104" s="450"/>
      <c r="WTB104" s="450"/>
      <c r="WTC104" s="450"/>
      <c r="WTD104" s="450"/>
      <c r="WTE104" s="450"/>
      <c r="WTF104" s="450"/>
      <c r="WTG104" s="450"/>
      <c r="WTH104" s="450"/>
      <c r="WTI104" s="450"/>
      <c r="WTJ104" s="450"/>
      <c r="WTK104" s="450"/>
      <c r="WTL104" s="450"/>
      <c r="WTM104" s="450"/>
      <c r="WTN104" s="450"/>
      <c r="WTO104" s="450"/>
      <c r="WTP104" s="450"/>
      <c r="WTQ104" s="450"/>
      <c r="WTR104" s="450"/>
      <c r="WTS104" s="450"/>
      <c r="WTT104" s="450"/>
      <c r="WTU104" s="450"/>
      <c r="WTV104" s="450"/>
      <c r="WTW104" s="450"/>
      <c r="WTX104" s="450"/>
      <c r="WTY104" s="450"/>
      <c r="WTZ104" s="450"/>
      <c r="WUA104" s="450"/>
      <c r="WUB104" s="450"/>
      <c r="WUC104" s="450"/>
      <c r="WUD104" s="450"/>
      <c r="WUE104" s="450"/>
      <c r="WUF104" s="450"/>
      <c r="WUG104" s="450"/>
      <c r="WUH104" s="450"/>
      <c r="WUI104" s="450"/>
      <c r="WUJ104" s="450"/>
      <c r="WUK104" s="450"/>
      <c r="WUL104" s="450"/>
      <c r="WUM104" s="450"/>
      <c r="WUN104" s="450"/>
      <c r="WUO104" s="450"/>
      <c r="WUP104" s="450"/>
      <c r="WUQ104" s="450"/>
      <c r="WUR104" s="450"/>
      <c r="WUS104" s="450"/>
      <c r="WUT104" s="450"/>
      <c r="WUU104" s="450"/>
      <c r="WUV104" s="450"/>
      <c r="WUW104" s="450"/>
      <c r="WUX104" s="450"/>
      <c r="WUY104" s="450"/>
      <c r="WUZ104" s="450"/>
      <c r="WVA104" s="450"/>
      <c r="WVB104" s="450"/>
      <c r="WVC104" s="450"/>
      <c r="WVD104" s="450"/>
      <c r="WVE104" s="450"/>
      <c r="WVF104" s="450"/>
      <c r="WVG104" s="450"/>
      <c r="WVH104" s="450"/>
      <c r="WVI104" s="450"/>
      <c r="WVJ104" s="450"/>
      <c r="WVK104" s="450"/>
      <c r="WVL104" s="450"/>
      <c r="WVM104" s="450"/>
      <c r="WVN104" s="450"/>
      <c r="WVO104" s="450"/>
      <c r="WVP104" s="450"/>
      <c r="WVQ104" s="450"/>
      <c r="WVR104" s="450"/>
      <c r="WVS104" s="450"/>
      <c r="WVT104" s="450"/>
      <c r="WVU104" s="450"/>
      <c r="WVV104" s="450"/>
      <c r="WVW104" s="450"/>
      <c r="WVX104" s="450"/>
      <c r="WVY104" s="450"/>
      <c r="WVZ104" s="450"/>
      <c r="WWA104" s="450"/>
      <c r="WWB104" s="450"/>
      <c r="WWC104" s="450"/>
      <c r="WWD104" s="450"/>
      <c r="WWE104" s="450"/>
      <c r="WWF104" s="450"/>
      <c r="WWG104" s="450"/>
      <c r="WWH104" s="450"/>
      <c r="WWI104" s="450"/>
      <c r="WWJ104" s="450"/>
      <c r="WWK104" s="450"/>
      <c r="WWL104" s="450"/>
      <c r="WWM104" s="450"/>
      <c r="WWN104" s="450"/>
      <c r="WWO104" s="450"/>
      <c r="WWP104" s="450"/>
      <c r="WWQ104" s="450"/>
      <c r="WWR104" s="450"/>
      <c r="WWS104" s="450"/>
      <c r="WWT104" s="450"/>
      <c r="WWU104" s="450"/>
      <c r="WWV104" s="450"/>
      <c r="WWW104" s="450"/>
      <c r="WWX104" s="450"/>
      <c r="WWY104" s="450"/>
      <c r="WWZ104" s="450"/>
      <c r="WXA104" s="450"/>
      <c r="WXB104" s="450"/>
      <c r="WXC104" s="450"/>
      <c r="WXD104" s="450"/>
      <c r="WXE104" s="450"/>
      <c r="WXF104" s="450"/>
      <c r="WXG104" s="450"/>
      <c r="WXH104" s="450"/>
      <c r="WXI104" s="450"/>
      <c r="WXJ104" s="450"/>
      <c r="WXK104" s="450"/>
      <c r="WXL104" s="450"/>
      <c r="WXM104" s="450"/>
      <c r="WXN104" s="450"/>
      <c r="WXO104" s="450"/>
      <c r="WXP104" s="450"/>
      <c r="WXQ104" s="450"/>
      <c r="WXR104" s="450"/>
      <c r="WXS104" s="450"/>
      <c r="WXT104" s="450"/>
      <c r="WXU104" s="450"/>
      <c r="WXV104" s="450"/>
      <c r="WXW104" s="450"/>
      <c r="WXX104" s="450"/>
      <c r="WXY104" s="450"/>
      <c r="WXZ104" s="450"/>
      <c r="WYA104" s="450"/>
      <c r="WYB104" s="450"/>
      <c r="WYC104" s="450"/>
      <c r="WYD104" s="450"/>
      <c r="WYE104" s="450"/>
      <c r="WYF104" s="450"/>
      <c r="WYG104" s="450"/>
      <c r="WYH104" s="450"/>
      <c r="WYI104" s="450"/>
      <c r="WYJ104" s="450"/>
      <c r="WYK104" s="450"/>
      <c r="WYL104" s="450"/>
      <c r="WYM104" s="450"/>
      <c r="WYN104" s="450"/>
      <c r="WYO104" s="450"/>
      <c r="WYP104" s="450"/>
      <c r="WYQ104" s="450"/>
      <c r="WYR104" s="450"/>
      <c r="WYS104" s="450"/>
      <c r="WYT104" s="450"/>
      <c r="WYU104" s="450"/>
      <c r="WYV104" s="450"/>
      <c r="WYW104" s="450"/>
      <c r="WYX104" s="450"/>
      <c r="WYY104" s="450"/>
      <c r="WYZ104" s="450"/>
      <c r="WZA104" s="450"/>
      <c r="WZB104" s="450"/>
      <c r="WZC104" s="450"/>
      <c r="WZD104" s="450"/>
      <c r="WZE104" s="450"/>
      <c r="WZF104" s="450"/>
      <c r="WZG104" s="450"/>
      <c r="WZH104" s="450"/>
      <c r="WZI104" s="450"/>
      <c r="WZJ104" s="450"/>
      <c r="WZK104" s="450"/>
      <c r="WZL104" s="450"/>
      <c r="WZM104" s="450"/>
      <c r="WZN104" s="450"/>
      <c r="WZO104" s="450"/>
      <c r="WZP104" s="450"/>
      <c r="WZQ104" s="450"/>
      <c r="WZR104" s="450"/>
      <c r="WZS104" s="450"/>
      <c r="WZT104" s="450"/>
      <c r="WZU104" s="450"/>
      <c r="WZV104" s="450"/>
      <c r="WZW104" s="450"/>
      <c r="WZX104" s="450"/>
      <c r="WZY104" s="450"/>
      <c r="WZZ104" s="450"/>
      <c r="XAA104" s="450"/>
      <c r="XAB104" s="450"/>
      <c r="XAC104" s="450"/>
      <c r="XAD104" s="450"/>
      <c r="XAE104" s="450"/>
      <c r="XAF104" s="450"/>
      <c r="XAG104" s="450"/>
      <c r="XAH104" s="450"/>
      <c r="XAI104" s="450"/>
      <c r="XAJ104" s="450"/>
      <c r="XAK104" s="450"/>
      <c r="XAL104" s="450"/>
      <c r="XAM104" s="450"/>
      <c r="XAN104" s="450"/>
      <c r="XAO104" s="450"/>
      <c r="XAP104" s="450"/>
      <c r="XAQ104" s="450"/>
      <c r="XAR104" s="450"/>
      <c r="XAS104" s="450"/>
      <c r="XAT104" s="450"/>
      <c r="XAU104" s="450"/>
      <c r="XAV104" s="450"/>
      <c r="XAW104" s="450"/>
      <c r="XAX104" s="450"/>
      <c r="XAY104" s="450"/>
      <c r="XAZ104" s="450"/>
      <c r="XBA104" s="450"/>
      <c r="XBB104" s="450"/>
      <c r="XBC104" s="450"/>
      <c r="XBD104" s="450"/>
      <c r="XBE104" s="450"/>
      <c r="XBF104" s="450"/>
      <c r="XBG104" s="450"/>
      <c r="XBH104" s="450"/>
      <c r="XBI104" s="450"/>
      <c r="XBJ104" s="450"/>
      <c r="XBK104" s="450"/>
      <c r="XBL104" s="450"/>
      <c r="XBM104" s="450"/>
      <c r="XBN104" s="450"/>
      <c r="XBO104" s="450"/>
      <c r="XBP104" s="450"/>
      <c r="XBQ104" s="450"/>
      <c r="XBR104" s="450"/>
      <c r="XBS104" s="450"/>
      <c r="XBT104" s="450"/>
      <c r="XBU104" s="450"/>
      <c r="XBV104" s="450"/>
      <c r="XBW104" s="450"/>
      <c r="XBX104" s="450"/>
      <c r="XBY104" s="450"/>
      <c r="XBZ104" s="450"/>
      <c r="XCA104" s="450"/>
      <c r="XCB104" s="450"/>
      <c r="XCC104" s="450"/>
      <c r="XCD104" s="450"/>
      <c r="XCE104" s="450"/>
      <c r="XCF104" s="450"/>
      <c r="XCG104" s="450"/>
      <c r="XCH104" s="450"/>
      <c r="XCI104" s="450"/>
      <c r="XCJ104" s="450"/>
      <c r="XCK104" s="450"/>
      <c r="XCL104" s="450"/>
      <c r="XCM104" s="450"/>
      <c r="XCN104" s="450"/>
      <c r="XCO104" s="450"/>
      <c r="XCP104" s="450"/>
      <c r="XCQ104" s="450"/>
      <c r="XCR104" s="450"/>
      <c r="XCS104" s="450"/>
      <c r="XCT104" s="450"/>
      <c r="XCU104" s="450"/>
      <c r="XCV104" s="450"/>
      <c r="XCW104" s="450"/>
      <c r="XCX104" s="450"/>
      <c r="XCY104" s="450"/>
      <c r="XCZ104" s="450"/>
      <c r="XDA104" s="450"/>
      <c r="XDB104" s="450"/>
      <c r="XDC104" s="450"/>
    </row>
    <row r="105" spans="1:16331" s="332" customFormat="1" ht="80.25" customHeight="1" x14ac:dyDescent="0.25">
      <c r="A105" s="262">
        <v>309</v>
      </c>
      <c r="B105" s="435" t="s">
        <v>223</v>
      </c>
      <c r="C105" s="306"/>
      <c r="D105" s="386"/>
      <c r="E105" s="306">
        <v>4</v>
      </c>
      <c r="F105" s="448" t="s">
        <v>102</v>
      </c>
      <c r="G105" s="343" t="s">
        <v>29</v>
      </c>
      <c r="H105" s="385" t="s">
        <v>22</v>
      </c>
      <c r="I105" s="343" t="s">
        <v>31</v>
      </c>
      <c r="J105" s="385" t="s">
        <v>32</v>
      </c>
      <c r="K105" s="343" t="s">
        <v>322</v>
      </c>
      <c r="L105" s="386" t="s">
        <v>173</v>
      </c>
      <c r="M105" s="452" t="s">
        <v>323</v>
      </c>
      <c r="N105" s="386" t="s">
        <v>324</v>
      </c>
      <c r="O105" s="441" t="s">
        <v>67</v>
      </c>
      <c r="P105" s="279">
        <v>1</v>
      </c>
      <c r="Q105" s="279">
        <v>0.28999999999999998</v>
      </c>
      <c r="R105" s="281">
        <v>2024003630097</v>
      </c>
      <c r="S105" s="325" t="s">
        <v>325</v>
      </c>
      <c r="T105" s="328"/>
      <c r="U105" s="328"/>
      <c r="V105" s="328"/>
      <c r="W105" s="328"/>
      <c r="X105" s="328"/>
      <c r="Y105" s="328"/>
      <c r="Z105" s="328"/>
      <c r="AA105" s="328"/>
      <c r="AB105" s="328"/>
      <c r="AC105" s="328"/>
      <c r="AD105" s="328"/>
      <c r="AE105" s="328"/>
      <c r="AF105" s="328"/>
      <c r="AG105" s="328"/>
      <c r="AH105" s="328"/>
      <c r="AI105" s="328"/>
      <c r="AJ105" s="328"/>
      <c r="AK105" s="328"/>
      <c r="AL105" s="404">
        <v>25000000</v>
      </c>
      <c r="AM105" s="404">
        <v>17564645</v>
      </c>
      <c r="AN105" s="404">
        <v>7400000</v>
      </c>
      <c r="AO105" s="328"/>
      <c r="AP105" s="328"/>
      <c r="AQ105" s="328"/>
      <c r="AR105" s="328"/>
      <c r="AS105" s="328"/>
      <c r="AT105" s="328"/>
      <c r="AU105" s="328">
        <f t="shared" si="3"/>
        <v>25000000</v>
      </c>
      <c r="AV105" s="328">
        <f t="shared" si="4"/>
        <v>17564645</v>
      </c>
      <c r="AW105" s="328">
        <f t="shared" si="5"/>
        <v>7400000</v>
      </c>
      <c r="AX105" s="385" t="s">
        <v>226</v>
      </c>
      <c r="AY105" s="331"/>
      <c r="AZ105" s="331"/>
      <c r="BA105" s="449"/>
      <c r="BB105" s="449"/>
      <c r="BC105" s="449"/>
      <c r="BD105" s="449"/>
      <c r="BE105" s="449"/>
      <c r="BF105" s="449"/>
      <c r="BG105" s="449"/>
      <c r="BH105" s="449"/>
      <c r="BI105" s="449"/>
      <c r="BJ105" s="449"/>
      <c r="BK105" s="449"/>
      <c r="BL105" s="449"/>
      <c r="BM105" s="449"/>
      <c r="BN105" s="449"/>
      <c r="BO105" s="449"/>
      <c r="BP105" s="449"/>
      <c r="BQ105" s="449"/>
      <c r="BR105" s="449"/>
      <c r="BS105" s="449"/>
      <c r="BT105" s="449"/>
      <c r="BU105" s="449"/>
      <c r="BV105" s="449"/>
      <c r="BW105" s="449"/>
      <c r="BX105" s="449"/>
      <c r="BY105" s="449"/>
      <c r="BZ105" s="449"/>
      <c r="CA105" s="449"/>
      <c r="CB105" s="449"/>
      <c r="CC105" s="449"/>
      <c r="CD105" s="449"/>
      <c r="CE105" s="449"/>
      <c r="CF105" s="449"/>
      <c r="CG105" s="449"/>
      <c r="CH105" s="449"/>
      <c r="CI105" s="449"/>
      <c r="CJ105" s="449"/>
      <c r="CK105" s="449"/>
      <c r="CL105" s="449"/>
      <c r="CM105" s="449"/>
      <c r="CN105" s="449"/>
      <c r="CO105" s="449"/>
      <c r="CP105" s="449"/>
      <c r="CQ105" s="449"/>
      <c r="CR105" s="449"/>
      <c r="CS105" s="449"/>
      <c r="CT105" s="449"/>
      <c r="CU105" s="449"/>
      <c r="CV105" s="449"/>
      <c r="CW105" s="449"/>
      <c r="CX105" s="449"/>
      <c r="CY105" s="449"/>
      <c r="CZ105" s="449"/>
      <c r="DA105" s="449"/>
      <c r="DB105" s="449"/>
      <c r="DC105" s="449"/>
      <c r="DD105" s="449"/>
      <c r="DE105" s="449"/>
      <c r="DF105" s="449"/>
      <c r="DG105" s="449"/>
      <c r="DH105" s="449"/>
      <c r="DI105" s="449"/>
      <c r="DJ105" s="449"/>
      <c r="DK105" s="449"/>
      <c r="DL105" s="449"/>
      <c r="DM105" s="449"/>
      <c r="DN105" s="449"/>
      <c r="DO105" s="449"/>
      <c r="DP105" s="449"/>
      <c r="DQ105" s="449"/>
      <c r="DR105" s="449"/>
      <c r="DS105" s="449"/>
      <c r="DT105" s="449"/>
      <c r="DU105" s="449"/>
      <c r="DV105" s="449"/>
      <c r="DW105" s="449"/>
      <c r="DX105" s="449"/>
      <c r="DY105" s="449"/>
      <c r="DZ105" s="450"/>
      <c r="EA105" s="450"/>
      <c r="EB105" s="450"/>
      <c r="EC105" s="450"/>
      <c r="ED105" s="450"/>
      <c r="EE105" s="450"/>
      <c r="EF105" s="450"/>
      <c r="EG105" s="450"/>
      <c r="EH105" s="450"/>
      <c r="EI105" s="450"/>
      <c r="EJ105" s="450"/>
      <c r="EK105" s="450"/>
      <c r="EL105" s="450"/>
      <c r="EM105" s="450"/>
      <c r="EN105" s="450"/>
      <c r="EO105" s="450"/>
      <c r="EP105" s="450"/>
      <c r="EQ105" s="450"/>
      <c r="ER105" s="450"/>
      <c r="ES105" s="450"/>
      <c r="ET105" s="450"/>
      <c r="EU105" s="450"/>
      <c r="EV105" s="450"/>
      <c r="EW105" s="450"/>
      <c r="EX105" s="450"/>
      <c r="EY105" s="450"/>
      <c r="EZ105" s="450"/>
      <c r="FA105" s="450"/>
      <c r="FB105" s="450"/>
      <c r="FC105" s="450"/>
      <c r="FD105" s="450"/>
      <c r="FE105" s="450"/>
      <c r="FF105" s="450"/>
      <c r="FG105" s="450"/>
      <c r="FH105" s="450"/>
      <c r="FI105" s="450"/>
      <c r="FJ105" s="450"/>
      <c r="FK105" s="450"/>
      <c r="FL105" s="450"/>
      <c r="FM105" s="450"/>
      <c r="FN105" s="450"/>
      <c r="FO105" s="450"/>
      <c r="FP105" s="450"/>
      <c r="FQ105" s="450"/>
      <c r="FR105" s="450"/>
      <c r="FS105" s="450"/>
      <c r="FT105" s="450"/>
      <c r="FU105" s="450"/>
      <c r="FV105" s="450"/>
      <c r="FW105" s="450"/>
      <c r="FX105" s="450"/>
      <c r="FY105" s="450"/>
      <c r="FZ105" s="450"/>
      <c r="GA105" s="450"/>
      <c r="GB105" s="450"/>
      <c r="GC105" s="450"/>
      <c r="GD105" s="450"/>
      <c r="GE105" s="450"/>
      <c r="GF105" s="450"/>
      <c r="GG105" s="450"/>
      <c r="GH105" s="450"/>
      <c r="GI105" s="450"/>
      <c r="GJ105" s="450"/>
      <c r="GK105" s="450"/>
      <c r="GL105" s="450"/>
      <c r="GM105" s="450"/>
      <c r="GN105" s="450"/>
      <c r="GO105" s="450"/>
      <c r="GP105" s="450"/>
      <c r="GQ105" s="450"/>
      <c r="GR105" s="450"/>
      <c r="GS105" s="450"/>
      <c r="GT105" s="450"/>
      <c r="GU105" s="450"/>
      <c r="GV105" s="450"/>
      <c r="GW105" s="450"/>
      <c r="GX105" s="450"/>
      <c r="GY105" s="450"/>
      <c r="GZ105" s="450"/>
      <c r="HA105" s="450"/>
      <c r="HB105" s="450"/>
      <c r="HC105" s="450"/>
      <c r="HD105" s="450"/>
      <c r="HE105" s="450"/>
      <c r="HF105" s="450"/>
      <c r="HG105" s="450"/>
      <c r="HH105" s="450"/>
      <c r="HI105" s="450"/>
      <c r="HJ105" s="450"/>
      <c r="HK105" s="450"/>
      <c r="HL105" s="450"/>
      <c r="HM105" s="450"/>
      <c r="HN105" s="450"/>
      <c r="HO105" s="450"/>
      <c r="HP105" s="450"/>
      <c r="HQ105" s="450"/>
      <c r="HR105" s="450"/>
      <c r="HS105" s="450"/>
      <c r="HT105" s="450"/>
      <c r="HU105" s="450"/>
      <c r="HV105" s="450"/>
      <c r="HW105" s="450"/>
      <c r="HX105" s="450"/>
      <c r="HY105" s="450"/>
      <c r="HZ105" s="450"/>
      <c r="IA105" s="450"/>
      <c r="IB105" s="450"/>
      <c r="IC105" s="450"/>
      <c r="ID105" s="450"/>
      <c r="IE105" s="450"/>
      <c r="IF105" s="450"/>
      <c r="IG105" s="450"/>
      <c r="IH105" s="450"/>
      <c r="II105" s="450"/>
      <c r="IJ105" s="450"/>
      <c r="IK105" s="450"/>
      <c r="IL105" s="450"/>
      <c r="IM105" s="450"/>
      <c r="IN105" s="450"/>
      <c r="IO105" s="450"/>
      <c r="IP105" s="450"/>
      <c r="IQ105" s="450"/>
      <c r="IR105" s="450"/>
      <c r="IS105" s="450"/>
      <c r="IT105" s="450"/>
      <c r="IU105" s="450"/>
      <c r="IV105" s="450"/>
      <c r="IW105" s="450"/>
      <c r="IX105" s="450"/>
      <c r="IY105" s="450"/>
      <c r="IZ105" s="450"/>
      <c r="JA105" s="450"/>
      <c r="JB105" s="450"/>
      <c r="JC105" s="450"/>
      <c r="JD105" s="450"/>
      <c r="JE105" s="450"/>
      <c r="JF105" s="450"/>
      <c r="JG105" s="450"/>
      <c r="JH105" s="450"/>
      <c r="JI105" s="450"/>
      <c r="JJ105" s="450"/>
      <c r="JK105" s="450"/>
      <c r="JL105" s="450"/>
      <c r="JM105" s="450"/>
      <c r="JN105" s="450"/>
      <c r="JO105" s="450"/>
      <c r="JP105" s="450"/>
      <c r="JQ105" s="450"/>
      <c r="JR105" s="450"/>
      <c r="JS105" s="450"/>
      <c r="JT105" s="450"/>
      <c r="JU105" s="450"/>
      <c r="JV105" s="450"/>
      <c r="JW105" s="450"/>
      <c r="JX105" s="450"/>
      <c r="JY105" s="450"/>
      <c r="JZ105" s="450"/>
      <c r="KA105" s="450"/>
      <c r="KB105" s="450"/>
      <c r="KC105" s="450"/>
      <c r="KD105" s="450"/>
      <c r="KE105" s="450"/>
      <c r="KF105" s="450"/>
      <c r="KG105" s="450"/>
      <c r="KH105" s="450"/>
      <c r="KI105" s="450"/>
      <c r="KJ105" s="450"/>
      <c r="KK105" s="450"/>
      <c r="KL105" s="450"/>
      <c r="KM105" s="450"/>
      <c r="KN105" s="450"/>
      <c r="KO105" s="450"/>
      <c r="KP105" s="450"/>
      <c r="KQ105" s="450"/>
      <c r="KR105" s="450"/>
      <c r="KS105" s="450"/>
      <c r="KT105" s="450"/>
      <c r="KU105" s="450"/>
      <c r="KV105" s="450"/>
      <c r="KW105" s="450"/>
      <c r="KX105" s="450"/>
      <c r="KY105" s="450"/>
      <c r="KZ105" s="450"/>
      <c r="LA105" s="450"/>
      <c r="LB105" s="450"/>
      <c r="LC105" s="450"/>
      <c r="LD105" s="450"/>
      <c r="LE105" s="450"/>
      <c r="LF105" s="450"/>
      <c r="LG105" s="450"/>
      <c r="LH105" s="450"/>
      <c r="LI105" s="450"/>
      <c r="LJ105" s="450"/>
      <c r="LK105" s="450"/>
      <c r="LL105" s="450"/>
      <c r="LM105" s="450"/>
      <c r="LN105" s="450"/>
      <c r="LO105" s="450"/>
      <c r="LP105" s="450"/>
      <c r="LQ105" s="450"/>
      <c r="LR105" s="450"/>
      <c r="LS105" s="450"/>
      <c r="LT105" s="450"/>
      <c r="LU105" s="450"/>
      <c r="LV105" s="450"/>
      <c r="LW105" s="450"/>
      <c r="LX105" s="450"/>
      <c r="LY105" s="450"/>
      <c r="LZ105" s="450"/>
      <c r="MA105" s="450"/>
      <c r="MB105" s="450"/>
      <c r="MC105" s="450"/>
      <c r="MD105" s="450"/>
      <c r="ME105" s="450"/>
      <c r="MF105" s="450"/>
      <c r="MG105" s="450"/>
      <c r="MH105" s="450"/>
      <c r="MI105" s="450"/>
      <c r="MJ105" s="450"/>
      <c r="MK105" s="450"/>
      <c r="ML105" s="450"/>
      <c r="MM105" s="450"/>
      <c r="MN105" s="450"/>
      <c r="MO105" s="450"/>
      <c r="MP105" s="450"/>
      <c r="MQ105" s="450"/>
      <c r="MR105" s="450"/>
      <c r="MS105" s="450"/>
      <c r="MT105" s="450"/>
      <c r="MU105" s="450"/>
      <c r="MV105" s="450"/>
      <c r="MW105" s="450"/>
      <c r="MX105" s="450"/>
      <c r="MY105" s="450"/>
      <c r="MZ105" s="450"/>
      <c r="NA105" s="450"/>
      <c r="NB105" s="450"/>
      <c r="NC105" s="450"/>
      <c r="ND105" s="450"/>
      <c r="NE105" s="450"/>
      <c r="NF105" s="450"/>
      <c r="NG105" s="450"/>
      <c r="NH105" s="450"/>
      <c r="NI105" s="450"/>
      <c r="NJ105" s="450"/>
      <c r="NK105" s="450"/>
      <c r="NL105" s="450"/>
      <c r="NM105" s="450"/>
      <c r="NN105" s="450"/>
      <c r="NO105" s="450"/>
      <c r="NP105" s="450"/>
      <c r="NQ105" s="450"/>
      <c r="NR105" s="450"/>
      <c r="NS105" s="450"/>
      <c r="NT105" s="450"/>
      <c r="NU105" s="450"/>
      <c r="NV105" s="450"/>
      <c r="NW105" s="450"/>
      <c r="NX105" s="450"/>
      <c r="NY105" s="450"/>
      <c r="NZ105" s="450"/>
      <c r="OA105" s="450"/>
      <c r="OB105" s="450"/>
      <c r="OC105" s="450"/>
      <c r="OD105" s="450"/>
      <c r="OE105" s="450"/>
      <c r="OF105" s="450"/>
      <c r="OG105" s="450"/>
      <c r="OH105" s="450"/>
      <c r="OI105" s="450"/>
      <c r="OJ105" s="450"/>
      <c r="OK105" s="450"/>
      <c r="OL105" s="450"/>
      <c r="OM105" s="450"/>
      <c r="ON105" s="450"/>
      <c r="OO105" s="450"/>
      <c r="OP105" s="450"/>
      <c r="OQ105" s="450"/>
      <c r="OR105" s="450"/>
      <c r="OS105" s="450"/>
      <c r="OT105" s="450"/>
      <c r="OU105" s="450"/>
      <c r="OV105" s="450"/>
      <c r="OW105" s="450"/>
      <c r="OX105" s="450"/>
      <c r="OY105" s="450"/>
      <c r="OZ105" s="450"/>
      <c r="PA105" s="450"/>
      <c r="PB105" s="450"/>
      <c r="PC105" s="450"/>
      <c r="PD105" s="450"/>
      <c r="PE105" s="450"/>
      <c r="PF105" s="450"/>
      <c r="PG105" s="450"/>
      <c r="PH105" s="450"/>
      <c r="PI105" s="450"/>
      <c r="PJ105" s="450"/>
      <c r="PK105" s="450"/>
      <c r="PL105" s="450"/>
      <c r="PM105" s="450"/>
      <c r="PN105" s="450"/>
      <c r="PO105" s="450"/>
      <c r="PP105" s="450"/>
      <c r="PQ105" s="450"/>
      <c r="PR105" s="450"/>
      <c r="PS105" s="450"/>
      <c r="PT105" s="450"/>
      <c r="PU105" s="450"/>
      <c r="PV105" s="450"/>
      <c r="PW105" s="450"/>
      <c r="PX105" s="450"/>
      <c r="PY105" s="450"/>
      <c r="PZ105" s="450"/>
      <c r="QA105" s="450"/>
      <c r="QB105" s="450"/>
      <c r="QC105" s="450"/>
      <c r="QD105" s="450"/>
      <c r="QE105" s="450"/>
      <c r="QF105" s="450"/>
      <c r="QG105" s="450"/>
      <c r="QH105" s="450"/>
      <c r="QI105" s="450"/>
      <c r="QJ105" s="450"/>
      <c r="QK105" s="450"/>
      <c r="QL105" s="450"/>
      <c r="QM105" s="450"/>
      <c r="QN105" s="450"/>
      <c r="QO105" s="450"/>
      <c r="QP105" s="450"/>
      <c r="QQ105" s="450"/>
      <c r="QR105" s="450"/>
      <c r="QS105" s="450"/>
      <c r="QT105" s="450"/>
      <c r="QU105" s="450"/>
      <c r="QV105" s="450"/>
      <c r="QW105" s="450"/>
      <c r="QX105" s="450"/>
      <c r="QY105" s="450"/>
      <c r="QZ105" s="450"/>
      <c r="RA105" s="450"/>
      <c r="RB105" s="450"/>
      <c r="RC105" s="450"/>
      <c r="RD105" s="450"/>
      <c r="RE105" s="450"/>
      <c r="RF105" s="450"/>
      <c r="RG105" s="450"/>
      <c r="RH105" s="450"/>
      <c r="RI105" s="450"/>
      <c r="RJ105" s="450"/>
      <c r="RK105" s="450"/>
      <c r="RL105" s="450"/>
      <c r="RM105" s="450"/>
      <c r="RN105" s="450"/>
      <c r="RO105" s="450"/>
      <c r="RP105" s="450"/>
      <c r="RQ105" s="450"/>
      <c r="RR105" s="450"/>
      <c r="RS105" s="450"/>
      <c r="RT105" s="450"/>
      <c r="RU105" s="450"/>
      <c r="RV105" s="450"/>
      <c r="RW105" s="450"/>
      <c r="RX105" s="450"/>
      <c r="RY105" s="450"/>
      <c r="RZ105" s="450"/>
      <c r="SA105" s="450"/>
      <c r="SB105" s="450"/>
      <c r="SC105" s="450"/>
      <c r="SD105" s="450"/>
      <c r="SE105" s="450"/>
      <c r="SF105" s="450"/>
      <c r="SG105" s="450"/>
      <c r="SH105" s="450"/>
      <c r="SI105" s="450"/>
      <c r="SJ105" s="450"/>
      <c r="SK105" s="450"/>
      <c r="SL105" s="450"/>
      <c r="SM105" s="450"/>
      <c r="SN105" s="450"/>
      <c r="SO105" s="450"/>
      <c r="SP105" s="450"/>
      <c r="SQ105" s="450"/>
      <c r="SR105" s="450"/>
      <c r="SS105" s="450"/>
      <c r="ST105" s="450"/>
      <c r="SU105" s="450"/>
      <c r="SV105" s="450"/>
      <c r="SW105" s="450"/>
      <c r="SX105" s="450"/>
      <c r="SY105" s="450"/>
      <c r="SZ105" s="450"/>
      <c r="TA105" s="450"/>
      <c r="TB105" s="450"/>
      <c r="TC105" s="450"/>
      <c r="TD105" s="450"/>
      <c r="TE105" s="450"/>
      <c r="TF105" s="450"/>
      <c r="TG105" s="450"/>
      <c r="TH105" s="450"/>
      <c r="TI105" s="450"/>
      <c r="TJ105" s="450"/>
      <c r="TK105" s="450"/>
      <c r="TL105" s="450"/>
      <c r="TM105" s="450"/>
      <c r="TN105" s="450"/>
      <c r="TO105" s="450"/>
      <c r="TP105" s="450"/>
      <c r="TQ105" s="450"/>
      <c r="TR105" s="450"/>
      <c r="TS105" s="450"/>
      <c r="TT105" s="450"/>
      <c r="TU105" s="450"/>
      <c r="TV105" s="450"/>
      <c r="TW105" s="450"/>
      <c r="TX105" s="450"/>
      <c r="TY105" s="450"/>
      <c r="TZ105" s="450"/>
      <c r="UA105" s="450"/>
      <c r="UB105" s="450"/>
      <c r="UC105" s="450"/>
      <c r="UD105" s="450"/>
      <c r="UE105" s="450"/>
      <c r="UF105" s="450"/>
      <c r="UG105" s="450"/>
      <c r="UH105" s="450"/>
      <c r="UI105" s="450"/>
      <c r="UJ105" s="450"/>
      <c r="UK105" s="450"/>
      <c r="UL105" s="450"/>
      <c r="UM105" s="450"/>
      <c r="UN105" s="450"/>
      <c r="UO105" s="450"/>
      <c r="UP105" s="450"/>
      <c r="UQ105" s="450"/>
      <c r="UR105" s="450"/>
      <c r="US105" s="450"/>
      <c r="UT105" s="450"/>
      <c r="UU105" s="450"/>
      <c r="UV105" s="450"/>
      <c r="UW105" s="450"/>
      <c r="UX105" s="450"/>
      <c r="UY105" s="450"/>
      <c r="UZ105" s="450"/>
      <c r="VA105" s="450"/>
      <c r="VB105" s="450"/>
      <c r="VC105" s="450"/>
      <c r="VD105" s="450"/>
      <c r="VE105" s="450"/>
      <c r="VF105" s="450"/>
      <c r="VG105" s="450"/>
      <c r="VH105" s="450"/>
      <c r="VI105" s="450"/>
      <c r="VJ105" s="450"/>
      <c r="VK105" s="450"/>
      <c r="VL105" s="450"/>
      <c r="VM105" s="450"/>
      <c r="VN105" s="450"/>
      <c r="VO105" s="450"/>
      <c r="VP105" s="450"/>
      <c r="VQ105" s="450"/>
      <c r="VR105" s="450"/>
      <c r="VS105" s="450"/>
      <c r="VT105" s="450"/>
      <c r="VU105" s="450"/>
      <c r="VV105" s="450"/>
      <c r="VW105" s="450"/>
      <c r="VX105" s="450"/>
      <c r="VY105" s="450"/>
      <c r="VZ105" s="450"/>
      <c r="WA105" s="450"/>
      <c r="WB105" s="450"/>
      <c r="WC105" s="450"/>
      <c r="WD105" s="450"/>
      <c r="WE105" s="450"/>
      <c r="WF105" s="450"/>
      <c r="WG105" s="450"/>
      <c r="WH105" s="450"/>
      <c r="WI105" s="450"/>
      <c r="WJ105" s="450"/>
      <c r="WK105" s="450"/>
      <c r="WL105" s="450"/>
      <c r="WM105" s="450"/>
      <c r="WN105" s="450"/>
      <c r="WO105" s="450"/>
      <c r="WP105" s="450"/>
      <c r="WQ105" s="450"/>
      <c r="WR105" s="450"/>
      <c r="WS105" s="450"/>
      <c r="WT105" s="450"/>
      <c r="WU105" s="450"/>
      <c r="WV105" s="450"/>
      <c r="WW105" s="450"/>
      <c r="WX105" s="450"/>
      <c r="WY105" s="450"/>
      <c r="WZ105" s="450"/>
      <c r="XA105" s="450"/>
      <c r="XB105" s="450"/>
      <c r="XC105" s="450"/>
      <c r="XD105" s="450"/>
      <c r="XE105" s="450"/>
      <c r="XF105" s="450"/>
      <c r="XG105" s="450"/>
      <c r="XH105" s="450"/>
      <c r="XI105" s="450"/>
      <c r="XJ105" s="450"/>
      <c r="XK105" s="450"/>
      <c r="XL105" s="450"/>
      <c r="XM105" s="450"/>
      <c r="XN105" s="450"/>
      <c r="XO105" s="450"/>
      <c r="XP105" s="450"/>
      <c r="XQ105" s="450"/>
      <c r="XR105" s="450"/>
      <c r="XS105" s="450"/>
      <c r="XT105" s="450"/>
      <c r="XU105" s="450"/>
      <c r="XV105" s="450"/>
      <c r="XW105" s="450"/>
      <c r="XX105" s="450"/>
      <c r="XY105" s="450"/>
      <c r="XZ105" s="450"/>
      <c r="YA105" s="450"/>
      <c r="YB105" s="450"/>
      <c r="YC105" s="450"/>
      <c r="YD105" s="450"/>
      <c r="YE105" s="450"/>
      <c r="YF105" s="450"/>
      <c r="YG105" s="450"/>
      <c r="YH105" s="450"/>
      <c r="YI105" s="450"/>
      <c r="YJ105" s="450"/>
      <c r="YK105" s="450"/>
      <c r="YL105" s="450"/>
      <c r="YM105" s="450"/>
      <c r="YN105" s="450"/>
      <c r="YO105" s="450"/>
      <c r="YP105" s="450"/>
      <c r="YQ105" s="450"/>
      <c r="YR105" s="450"/>
      <c r="YS105" s="450"/>
      <c r="YT105" s="450"/>
      <c r="YU105" s="450"/>
      <c r="YV105" s="450"/>
      <c r="YW105" s="450"/>
      <c r="YX105" s="450"/>
      <c r="YY105" s="450"/>
      <c r="YZ105" s="450"/>
      <c r="ZA105" s="450"/>
      <c r="ZB105" s="450"/>
      <c r="ZC105" s="450"/>
      <c r="ZD105" s="450"/>
      <c r="ZE105" s="450"/>
      <c r="ZF105" s="450"/>
      <c r="ZG105" s="450"/>
      <c r="ZH105" s="450"/>
      <c r="ZI105" s="450"/>
      <c r="ZJ105" s="450"/>
      <c r="ZK105" s="450"/>
      <c r="ZL105" s="450"/>
      <c r="ZM105" s="450"/>
      <c r="ZN105" s="450"/>
      <c r="ZO105" s="450"/>
      <c r="ZP105" s="450"/>
      <c r="ZQ105" s="450"/>
      <c r="ZR105" s="450"/>
      <c r="ZS105" s="450"/>
      <c r="ZT105" s="450"/>
      <c r="ZU105" s="450"/>
      <c r="ZV105" s="450"/>
      <c r="ZW105" s="450"/>
      <c r="ZX105" s="450"/>
      <c r="ZY105" s="450"/>
      <c r="ZZ105" s="450"/>
      <c r="AAA105" s="450"/>
      <c r="AAB105" s="450"/>
      <c r="AAC105" s="450"/>
      <c r="AAD105" s="450"/>
      <c r="AAE105" s="450"/>
      <c r="AAF105" s="450"/>
      <c r="AAG105" s="450"/>
      <c r="AAH105" s="450"/>
      <c r="AAI105" s="450"/>
      <c r="AAJ105" s="450"/>
      <c r="AAK105" s="450"/>
      <c r="AAL105" s="450"/>
      <c r="AAM105" s="450"/>
      <c r="AAN105" s="450"/>
      <c r="AAO105" s="450"/>
      <c r="AAP105" s="450"/>
      <c r="AAQ105" s="450"/>
      <c r="AAR105" s="450"/>
      <c r="AAS105" s="450"/>
      <c r="AAT105" s="450"/>
      <c r="AAU105" s="450"/>
      <c r="AAV105" s="450"/>
      <c r="AAW105" s="450"/>
      <c r="AAX105" s="450"/>
      <c r="AAY105" s="450"/>
      <c r="AAZ105" s="450"/>
      <c r="ABA105" s="450"/>
      <c r="ABB105" s="450"/>
      <c r="ABC105" s="450"/>
      <c r="ABD105" s="450"/>
      <c r="ABE105" s="450"/>
      <c r="ABF105" s="450"/>
      <c r="ABG105" s="450"/>
      <c r="ABH105" s="450"/>
      <c r="ABI105" s="450"/>
      <c r="ABJ105" s="450"/>
      <c r="ABK105" s="450"/>
      <c r="ABL105" s="450"/>
      <c r="ABM105" s="450"/>
      <c r="ABN105" s="450"/>
      <c r="ABO105" s="450"/>
      <c r="ABP105" s="450"/>
      <c r="ABQ105" s="450"/>
      <c r="ABR105" s="450"/>
      <c r="ABS105" s="450"/>
      <c r="ABT105" s="450"/>
      <c r="ABU105" s="450"/>
      <c r="ABV105" s="450"/>
      <c r="ABW105" s="450"/>
      <c r="ABX105" s="450"/>
      <c r="ABY105" s="450"/>
      <c r="ABZ105" s="450"/>
      <c r="ACA105" s="450"/>
      <c r="ACB105" s="450"/>
      <c r="ACC105" s="450"/>
      <c r="ACD105" s="450"/>
      <c r="ACE105" s="450"/>
      <c r="ACF105" s="450"/>
      <c r="ACG105" s="450"/>
      <c r="ACH105" s="450"/>
      <c r="ACI105" s="450"/>
      <c r="ACJ105" s="450"/>
      <c r="ACK105" s="450"/>
      <c r="ACL105" s="450"/>
      <c r="ACM105" s="450"/>
      <c r="ACN105" s="450"/>
      <c r="ACO105" s="450"/>
      <c r="ACP105" s="450"/>
      <c r="ACQ105" s="450"/>
      <c r="ACR105" s="450"/>
      <c r="ACS105" s="450"/>
      <c r="ACT105" s="450"/>
      <c r="ACU105" s="450"/>
      <c r="ACV105" s="450"/>
      <c r="ACW105" s="450"/>
      <c r="ACX105" s="450"/>
      <c r="ACY105" s="450"/>
      <c r="ACZ105" s="450"/>
      <c r="ADA105" s="450"/>
      <c r="ADB105" s="450"/>
      <c r="ADC105" s="450"/>
      <c r="ADD105" s="450"/>
      <c r="ADE105" s="450"/>
      <c r="ADF105" s="450"/>
      <c r="ADG105" s="450"/>
      <c r="ADH105" s="450"/>
      <c r="ADI105" s="450"/>
      <c r="ADJ105" s="450"/>
      <c r="ADK105" s="450"/>
      <c r="ADL105" s="450"/>
      <c r="ADM105" s="450"/>
      <c r="ADN105" s="450"/>
      <c r="ADO105" s="450"/>
      <c r="ADP105" s="450"/>
      <c r="ADQ105" s="450"/>
      <c r="ADR105" s="450"/>
      <c r="ADS105" s="450"/>
      <c r="ADT105" s="450"/>
      <c r="ADU105" s="450"/>
      <c r="ADV105" s="450"/>
      <c r="ADW105" s="450"/>
      <c r="ADX105" s="450"/>
      <c r="ADY105" s="450"/>
      <c r="ADZ105" s="450"/>
      <c r="AEA105" s="450"/>
      <c r="AEB105" s="450"/>
      <c r="AEC105" s="450"/>
      <c r="AED105" s="450"/>
      <c r="AEE105" s="450"/>
      <c r="AEF105" s="450"/>
      <c r="AEG105" s="450"/>
      <c r="AEH105" s="450"/>
      <c r="AEI105" s="450"/>
      <c r="AEJ105" s="450"/>
      <c r="AEK105" s="450"/>
      <c r="AEL105" s="450"/>
      <c r="AEM105" s="450"/>
      <c r="AEN105" s="450"/>
      <c r="AEO105" s="450"/>
      <c r="AEP105" s="450"/>
      <c r="AEQ105" s="450"/>
      <c r="AER105" s="450"/>
      <c r="AES105" s="450"/>
      <c r="AET105" s="450"/>
      <c r="AEU105" s="450"/>
      <c r="AEV105" s="450"/>
      <c r="AEW105" s="450"/>
      <c r="AEX105" s="450"/>
      <c r="AEY105" s="450"/>
      <c r="AEZ105" s="450"/>
      <c r="AFA105" s="450"/>
      <c r="AFB105" s="450"/>
      <c r="AFC105" s="450"/>
      <c r="AFD105" s="450"/>
      <c r="AFE105" s="450"/>
      <c r="AFF105" s="450"/>
      <c r="AFG105" s="450"/>
      <c r="AFH105" s="450"/>
      <c r="AFI105" s="450"/>
      <c r="AFJ105" s="450"/>
      <c r="AFK105" s="450"/>
      <c r="AFL105" s="450"/>
      <c r="AFM105" s="450"/>
      <c r="AFN105" s="450"/>
      <c r="AFO105" s="450"/>
      <c r="AFP105" s="450"/>
      <c r="AFQ105" s="450"/>
      <c r="AFR105" s="450"/>
      <c r="AFS105" s="450"/>
      <c r="AFT105" s="450"/>
      <c r="AFU105" s="450"/>
      <c r="AFV105" s="450"/>
      <c r="AFW105" s="450"/>
      <c r="AFX105" s="450"/>
      <c r="AFY105" s="450"/>
      <c r="AFZ105" s="450"/>
      <c r="AGA105" s="450"/>
      <c r="AGB105" s="450"/>
      <c r="AGC105" s="450"/>
      <c r="AGD105" s="450"/>
      <c r="AGE105" s="450"/>
      <c r="AGF105" s="450"/>
      <c r="AGG105" s="450"/>
      <c r="AGH105" s="450"/>
      <c r="AGI105" s="450"/>
      <c r="AGJ105" s="450"/>
      <c r="AGK105" s="450"/>
      <c r="AGL105" s="450"/>
      <c r="AGM105" s="450"/>
      <c r="AGN105" s="450"/>
      <c r="AGO105" s="450"/>
      <c r="AGP105" s="450"/>
      <c r="AGQ105" s="450"/>
      <c r="AGR105" s="450"/>
      <c r="AGS105" s="450"/>
      <c r="AGT105" s="450"/>
      <c r="AGU105" s="450"/>
      <c r="AGV105" s="450"/>
      <c r="AGW105" s="450"/>
      <c r="AGX105" s="450"/>
      <c r="AGY105" s="450"/>
      <c r="AGZ105" s="450"/>
      <c r="AHA105" s="450"/>
      <c r="AHB105" s="450"/>
      <c r="AHC105" s="450"/>
      <c r="AHD105" s="450"/>
      <c r="AHE105" s="450"/>
      <c r="AHF105" s="450"/>
      <c r="AHG105" s="450"/>
      <c r="AHH105" s="450"/>
      <c r="AHI105" s="450"/>
      <c r="AHJ105" s="450"/>
      <c r="AHK105" s="450"/>
      <c r="AHL105" s="450"/>
      <c r="AHM105" s="450"/>
      <c r="AHN105" s="450"/>
      <c r="AHO105" s="450"/>
      <c r="AHP105" s="450"/>
      <c r="AHQ105" s="450"/>
      <c r="AHR105" s="450"/>
      <c r="AHS105" s="450"/>
      <c r="AHT105" s="450"/>
      <c r="AHU105" s="450"/>
      <c r="AHV105" s="450"/>
      <c r="AHW105" s="450"/>
      <c r="AHX105" s="450"/>
      <c r="AHY105" s="450"/>
      <c r="AHZ105" s="450"/>
      <c r="AIA105" s="450"/>
      <c r="AIB105" s="450"/>
      <c r="AIC105" s="450"/>
      <c r="AID105" s="450"/>
      <c r="AIE105" s="450"/>
      <c r="AIF105" s="450"/>
      <c r="AIG105" s="450"/>
      <c r="AIH105" s="450"/>
      <c r="AII105" s="450"/>
      <c r="AIJ105" s="450"/>
      <c r="AIK105" s="450"/>
      <c r="AIL105" s="450"/>
      <c r="AIM105" s="450"/>
      <c r="AIN105" s="450"/>
      <c r="AIO105" s="450"/>
      <c r="AIP105" s="450"/>
      <c r="AIQ105" s="450"/>
      <c r="AIR105" s="450"/>
      <c r="AIS105" s="450"/>
      <c r="AIT105" s="450"/>
      <c r="AIU105" s="450"/>
      <c r="AIV105" s="450"/>
      <c r="AIW105" s="450"/>
      <c r="AIX105" s="450"/>
      <c r="AIY105" s="450"/>
      <c r="AIZ105" s="450"/>
      <c r="AJA105" s="450"/>
      <c r="AJB105" s="450"/>
      <c r="AJC105" s="450"/>
      <c r="AJD105" s="450"/>
      <c r="AJE105" s="450"/>
      <c r="AJF105" s="450"/>
      <c r="AJG105" s="450"/>
      <c r="AJH105" s="450"/>
      <c r="AJI105" s="450"/>
      <c r="AJJ105" s="450"/>
      <c r="AJK105" s="450"/>
      <c r="AJL105" s="450"/>
      <c r="AJM105" s="450"/>
      <c r="AJN105" s="450"/>
      <c r="AJO105" s="450"/>
      <c r="AJP105" s="450"/>
      <c r="AJQ105" s="450"/>
      <c r="AJR105" s="450"/>
      <c r="AJS105" s="450"/>
      <c r="AJT105" s="450"/>
      <c r="AJU105" s="450"/>
      <c r="AJV105" s="450"/>
      <c r="AJW105" s="450"/>
      <c r="AJX105" s="450"/>
      <c r="AJY105" s="450"/>
      <c r="AJZ105" s="450"/>
      <c r="AKA105" s="450"/>
      <c r="AKB105" s="450"/>
      <c r="AKC105" s="450"/>
      <c r="AKD105" s="450"/>
      <c r="AKE105" s="450"/>
      <c r="AKF105" s="450"/>
      <c r="AKG105" s="450"/>
      <c r="AKH105" s="450"/>
      <c r="AKI105" s="450"/>
      <c r="AKJ105" s="450"/>
      <c r="AKK105" s="450"/>
      <c r="AKL105" s="450"/>
      <c r="AKM105" s="450"/>
      <c r="AKN105" s="450"/>
      <c r="AKO105" s="450"/>
      <c r="AKP105" s="450"/>
      <c r="AKQ105" s="450"/>
      <c r="AKR105" s="450"/>
      <c r="AKS105" s="450"/>
      <c r="AKT105" s="450"/>
      <c r="AKU105" s="450"/>
      <c r="AKV105" s="450"/>
      <c r="AKW105" s="450"/>
      <c r="AKX105" s="450"/>
      <c r="AKY105" s="450"/>
      <c r="AKZ105" s="450"/>
      <c r="ALA105" s="450"/>
      <c r="ALB105" s="450"/>
      <c r="ALC105" s="450"/>
      <c r="ALD105" s="450"/>
      <c r="ALE105" s="450"/>
      <c r="ALF105" s="450"/>
      <c r="ALG105" s="450"/>
      <c r="ALH105" s="450"/>
      <c r="ALI105" s="450"/>
      <c r="ALJ105" s="450"/>
      <c r="ALK105" s="450"/>
      <c r="ALL105" s="450"/>
      <c r="ALM105" s="450"/>
      <c r="ALN105" s="450"/>
      <c r="ALO105" s="450"/>
      <c r="ALP105" s="450"/>
      <c r="ALQ105" s="450"/>
      <c r="ALR105" s="450"/>
      <c r="ALS105" s="450"/>
      <c r="ALT105" s="450"/>
      <c r="ALU105" s="450"/>
      <c r="ALV105" s="450"/>
      <c r="ALW105" s="450"/>
      <c r="ALX105" s="450"/>
      <c r="ALY105" s="450"/>
      <c r="ALZ105" s="450"/>
      <c r="AMA105" s="450"/>
      <c r="AMB105" s="450"/>
      <c r="AMC105" s="450"/>
      <c r="AMD105" s="450"/>
      <c r="AME105" s="450"/>
      <c r="AMF105" s="450"/>
      <c r="AMG105" s="450"/>
      <c r="AMH105" s="450"/>
      <c r="AMI105" s="450"/>
      <c r="AMJ105" s="450"/>
      <c r="AMK105" s="450"/>
      <c r="AML105" s="450"/>
      <c r="AMM105" s="450"/>
      <c r="AMN105" s="450"/>
      <c r="AMO105" s="450"/>
      <c r="AMP105" s="450"/>
      <c r="AMQ105" s="450"/>
      <c r="AMR105" s="450"/>
      <c r="AMS105" s="450"/>
      <c r="AMT105" s="450"/>
      <c r="AMU105" s="450"/>
      <c r="AMV105" s="450"/>
      <c r="AMW105" s="450"/>
      <c r="AMX105" s="450"/>
      <c r="AMY105" s="450"/>
      <c r="AMZ105" s="450"/>
      <c r="ANA105" s="450"/>
      <c r="ANB105" s="450"/>
      <c r="ANC105" s="450"/>
      <c r="AND105" s="450"/>
      <c r="ANE105" s="450"/>
      <c r="ANF105" s="450"/>
      <c r="ANG105" s="450"/>
      <c r="ANH105" s="450"/>
      <c r="ANI105" s="450"/>
      <c r="ANJ105" s="450"/>
      <c r="ANK105" s="450"/>
      <c r="ANL105" s="450"/>
      <c r="ANM105" s="450"/>
      <c r="ANN105" s="450"/>
      <c r="ANO105" s="450"/>
      <c r="ANP105" s="450"/>
      <c r="ANQ105" s="450"/>
      <c r="ANR105" s="450"/>
      <c r="ANS105" s="450"/>
      <c r="ANT105" s="450"/>
      <c r="ANU105" s="450"/>
      <c r="ANV105" s="450"/>
      <c r="ANW105" s="450"/>
      <c r="ANX105" s="450"/>
      <c r="ANY105" s="450"/>
      <c r="ANZ105" s="450"/>
      <c r="AOA105" s="450"/>
      <c r="AOB105" s="450"/>
      <c r="AOC105" s="450"/>
      <c r="AOD105" s="450"/>
      <c r="AOE105" s="450"/>
      <c r="AOF105" s="450"/>
      <c r="AOG105" s="450"/>
      <c r="AOH105" s="450"/>
      <c r="AOI105" s="450"/>
      <c r="AOJ105" s="450"/>
      <c r="AOK105" s="450"/>
      <c r="AOL105" s="450"/>
      <c r="AOM105" s="450"/>
      <c r="AON105" s="450"/>
      <c r="AOO105" s="450"/>
      <c r="AOP105" s="450"/>
      <c r="AOQ105" s="450"/>
      <c r="AOR105" s="450"/>
      <c r="AOS105" s="450"/>
      <c r="AOT105" s="450"/>
      <c r="AOU105" s="450"/>
      <c r="AOV105" s="450"/>
      <c r="AOW105" s="450"/>
      <c r="AOX105" s="450"/>
      <c r="AOY105" s="450"/>
      <c r="AOZ105" s="450"/>
      <c r="APA105" s="450"/>
      <c r="APB105" s="450"/>
      <c r="APC105" s="450"/>
      <c r="APD105" s="450"/>
      <c r="APE105" s="450"/>
      <c r="APF105" s="450"/>
      <c r="APG105" s="450"/>
      <c r="APH105" s="450"/>
      <c r="API105" s="450"/>
      <c r="APJ105" s="450"/>
      <c r="APK105" s="450"/>
      <c r="APL105" s="450"/>
      <c r="APM105" s="450"/>
      <c r="APN105" s="450"/>
      <c r="APO105" s="450"/>
      <c r="APP105" s="450"/>
      <c r="APQ105" s="450"/>
      <c r="APR105" s="450"/>
      <c r="APS105" s="450"/>
      <c r="APT105" s="450"/>
      <c r="APU105" s="450"/>
      <c r="APV105" s="450"/>
      <c r="APW105" s="450"/>
      <c r="APX105" s="450"/>
      <c r="APY105" s="450"/>
      <c r="APZ105" s="450"/>
      <c r="AQA105" s="450"/>
      <c r="AQB105" s="450"/>
      <c r="AQC105" s="450"/>
      <c r="AQD105" s="450"/>
      <c r="AQE105" s="450"/>
      <c r="AQF105" s="450"/>
      <c r="AQG105" s="450"/>
      <c r="AQH105" s="450"/>
      <c r="AQI105" s="450"/>
      <c r="AQJ105" s="450"/>
      <c r="AQK105" s="450"/>
      <c r="AQL105" s="450"/>
      <c r="AQM105" s="450"/>
      <c r="AQN105" s="450"/>
      <c r="AQO105" s="450"/>
      <c r="AQP105" s="450"/>
      <c r="AQQ105" s="450"/>
      <c r="AQR105" s="450"/>
      <c r="AQS105" s="450"/>
      <c r="AQT105" s="450"/>
      <c r="AQU105" s="450"/>
      <c r="AQV105" s="450"/>
      <c r="AQW105" s="450"/>
      <c r="AQX105" s="450"/>
      <c r="AQY105" s="450"/>
      <c r="AQZ105" s="450"/>
      <c r="ARA105" s="450"/>
      <c r="ARB105" s="450"/>
      <c r="ARC105" s="450"/>
      <c r="ARD105" s="450"/>
      <c r="ARE105" s="450"/>
      <c r="ARF105" s="450"/>
      <c r="ARG105" s="450"/>
      <c r="ARH105" s="450"/>
      <c r="ARI105" s="450"/>
      <c r="ARJ105" s="450"/>
      <c r="ARK105" s="450"/>
      <c r="ARL105" s="450"/>
      <c r="ARM105" s="450"/>
      <c r="ARN105" s="450"/>
      <c r="ARO105" s="450"/>
      <c r="ARP105" s="450"/>
      <c r="ARQ105" s="450"/>
      <c r="ARR105" s="450"/>
      <c r="ARS105" s="450"/>
      <c r="ART105" s="450"/>
      <c r="ARU105" s="450"/>
      <c r="ARV105" s="450"/>
      <c r="ARW105" s="450"/>
      <c r="ARX105" s="450"/>
      <c r="ARY105" s="450"/>
      <c r="ARZ105" s="450"/>
      <c r="ASA105" s="450"/>
      <c r="ASB105" s="450"/>
      <c r="ASC105" s="450"/>
      <c r="ASD105" s="450"/>
      <c r="ASE105" s="450"/>
      <c r="ASF105" s="450"/>
      <c r="ASG105" s="450"/>
      <c r="ASH105" s="450"/>
      <c r="ASI105" s="450"/>
      <c r="ASJ105" s="450"/>
      <c r="ASK105" s="450"/>
      <c r="ASL105" s="450"/>
      <c r="ASM105" s="450"/>
      <c r="ASN105" s="450"/>
      <c r="ASO105" s="450"/>
      <c r="ASP105" s="450"/>
      <c r="ASQ105" s="450"/>
      <c r="ASR105" s="450"/>
      <c r="ASS105" s="450"/>
      <c r="AST105" s="450"/>
      <c r="ASU105" s="450"/>
      <c r="ASV105" s="450"/>
      <c r="ASW105" s="450"/>
      <c r="ASX105" s="450"/>
      <c r="ASY105" s="450"/>
      <c r="ASZ105" s="450"/>
      <c r="ATA105" s="450"/>
      <c r="ATB105" s="450"/>
      <c r="ATC105" s="450"/>
      <c r="ATD105" s="450"/>
      <c r="ATE105" s="450"/>
      <c r="ATF105" s="450"/>
      <c r="ATG105" s="450"/>
      <c r="ATH105" s="450"/>
      <c r="ATI105" s="450"/>
      <c r="ATJ105" s="450"/>
      <c r="ATK105" s="450"/>
      <c r="ATL105" s="450"/>
      <c r="ATM105" s="450"/>
      <c r="ATN105" s="450"/>
      <c r="ATO105" s="450"/>
      <c r="ATP105" s="450"/>
      <c r="ATQ105" s="450"/>
      <c r="ATR105" s="450"/>
      <c r="ATS105" s="450"/>
      <c r="ATT105" s="450"/>
      <c r="ATU105" s="450"/>
      <c r="ATV105" s="450"/>
      <c r="ATW105" s="450"/>
      <c r="ATX105" s="450"/>
      <c r="ATY105" s="450"/>
      <c r="ATZ105" s="450"/>
      <c r="AUA105" s="450"/>
      <c r="AUB105" s="450"/>
      <c r="AUC105" s="450"/>
      <c r="AUD105" s="450"/>
      <c r="AUE105" s="450"/>
      <c r="AUF105" s="450"/>
      <c r="AUG105" s="450"/>
      <c r="AUH105" s="450"/>
      <c r="AUI105" s="450"/>
      <c r="AUJ105" s="450"/>
      <c r="AUK105" s="450"/>
      <c r="AUL105" s="450"/>
      <c r="AUM105" s="450"/>
      <c r="AUN105" s="450"/>
      <c r="AUO105" s="450"/>
      <c r="AUP105" s="450"/>
      <c r="AUQ105" s="450"/>
      <c r="AUR105" s="450"/>
      <c r="AUS105" s="450"/>
      <c r="AUT105" s="450"/>
      <c r="AUU105" s="450"/>
      <c r="AUV105" s="450"/>
      <c r="AUW105" s="450"/>
      <c r="AUX105" s="450"/>
      <c r="AUY105" s="450"/>
      <c r="AUZ105" s="450"/>
      <c r="AVA105" s="450"/>
      <c r="AVB105" s="450"/>
      <c r="AVC105" s="450"/>
      <c r="AVD105" s="450"/>
      <c r="AVE105" s="450"/>
      <c r="AVF105" s="450"/>
      <c r="AVG105" s="450"/>
      <c r="AVH105" s="450"/>
      <c r="AVI105" s="450"/>
      <c r="AVJ105" s="450"/>
      <c r="AVK105" s="450"/>
      <c r="AVL105" s="450"/>
      <c r="AVM105" s="450"/>
      <c r="AVN105" s="450"/>
      <c r="AVO105" s="450"/>
      <c r="AVP105" s="450"/>
      <c r="AVQ105" s="450"/>
      <c r="AVR105" s="450"/>
      <c r="AVS105" s="450"/>
      <c r="AVT105" s="450"/>
      <c r="AVU105" s="450"/>
      <c r="AVV105" s="450"/>
      <c r="AVW105" s="450"/>
      <c r="AVX105" s="450"/>
      <c r="AVY105" s="450"/>
      <c r="AVZ105" s="450"/>
      <c r="AWA105" s="450"/>
      <c r="AWB105" s="450"/>
      <c r="AWC105" s="450"/>
      <c r="AWD105" s="450"/>
      <c r="AWE105" s="450"/>
      <c r="AWF105" s="450"/>
      <c r="AWG105" s="450"/>
      <c r="AWH105" s="450"/>
      <c r="AWI105" s="450"/>
      <c r="AWJ105" s="450"/>
      <c r="AWK105" s="450"/>
      <c r="AWL105" s="450"/>
      <c r="AWM105" s="450"/>
      <c r="AWN105" s="450"/>
      <c r="AWO105" s="450"/>
      <c r="AWP105" s="450"/>
      <c r="AWQ105" s="450"/>
      <c r="AWR105" s="450"/>
      <c r="AWS105" s="450"/>
      <c r="AWT105" s="450"/>
      <c r="AWU105" s="450"/>
      <c r="AWV105" s="450"/>
      <c r="AWW105" s="450"/>
      <c r="AWX105" s="450"/>
      <c r="AWY105" s="450"/>
      <c r="AWZ105" s="450"/>
      <c r="AXA105" s="450"/>
      <c r="AXB105" s="450"/>
      <c r="AXC105" s="450"/>
      <c r="AXD105" s="450"/>
      <c r="AXE105" s="450"/>
      <c r="AXF105" s="450"/>
      <c r="AXG105" s="450"/>
      <c r="AXH105" s="450"/>
      <c r="AXI105" s="450"/>
      <c r="AXJ105" s="450"/>
      <c r="AXK105" s="450"/>
      <c r="AXL105" s="450"/>
      <c r="AXM105" s="450"/>
      <c r="AXN105" s="450"/>
      <c r="AXO105" s="450"/>
      <c r="AXP105" s="450"/>
      <c r="AXQ105" s="450"/>
      <c r="AXR105" s="450"/>
      <c r="AXS105" s="450"/>
      <c r="AXT105" s="450"/>
      <c r="AXU105" s="450"/>
      <c r="AXV105" s="450"/>
      <c r="AXW105" s="450"/>
      <c r="AXX105" s="450"/>
      <c r="AXY105" s="450"/>
      <c r="AXZ105" s="450"/>
      <c r="AYA105" s="450"/>
      <c r="AYB105" s="450"/>
      <c r="AYC105" s="450"/>
      <c r="AYD105" s="450"/>
      <c r="AYE105" s="450"/>
      <c r="AYF105" s="450"/>
      <c r="AYG105" s="450"/>
      <c r="AYH105" s="450"/>
      <c r="AYI105" s="450"/>
      <c r="AYJ105" s="450"/>
      <c r="AYK105" s="450"/>
      <c r="AYL105" s="450"/>
      <c r="AYM105" s="450"/>
      <c r="AYN105" s="450"/>
      <c r="AYO105" s="450"/>
      <c r="AYP105" s="450"/>
      <c r="AYQ105" s="450"/>
      <c r="AYR105" s="450"/>
      <c r="AYS105" s="450"/>
      <c r="AYT105" s="450"/>
      <c r="AYU105" s="450"/>
      <c r="AYV105" s="450"/>
      <c r="AYW105" s="450"/>
      <c r="AYX105" s="450"/>
      <c r="AYY105" s="450"/>
      <c r="AYZ105" s="450"/>
      <c r="AZA105" s="450"/>
      <c r="AZB105" s="450"/>
      <c r="AZC105" s="450"/>
      <c r="AZD105" s="450"/>
      <c r="AZE105" s="450"/>
      <c r="AZF105" s="450"/>
      <c r="AZG105" s="450"/>
      <c r="AZH105" s="450"/>
      <c r="AZI105" s="450"/>
      <c r="AZJ105" s="450"/>
      <c r="AZK105" s="450"/>
      <c r="AZL105" s="450"/>
      <c r="AZM105" s="450"/>
      <c r="AZN105" s="450"/>
      <c r="AZO105" s="450"/>
      <c r="AZP105" s="450"/>
      <c r="AZQ105" s="450"/>
      <c r="AZR105" s="450"/>
      <c r="AZS105" s="450"/>
      <c r="AZT105" s="450"/>
      <c r="AZU105" s="450"/>
      <c r="AZV105" s="450"/>
      <c r="AZW105" s="450"/>
      <c r="AZX105" s="450"/>
      <c r="AZY105" s="450"/>
      <c r="AZZ105" s="450"/>
      <c r="BAA105" s="450"/>
      <c r="BAB105" s="450"/>
      <c r="BAC105" s="450"/>
      <c r="BAD105" s="450"/>
      <c r="BAE105" s="450"/>
      <c r="BAF105" s="450"/>
      <c r="BAG105" s="450"/>
      <c r="BAH105" s="450"/>
      <c r="BAI105" s="450"/>
      <c r="BAJ105" s="450"/>
      <c r="BAK105" s="450"/>
      <c r="BAL105" s="450"/>
      <c r="BAM105" s="450"/>
      <c r="BAN105" s="450"/>
      <c r="BAO105" s="450"/>
      <c r="BAP105" s="450"/>
      <c r="BAQ105" s="450"/>
      <c r="BAR105" s="450"/>
      <c r="BAS105" s="450"/>
      <c r="BAT105" s="450"/>
      <c r="BAU105" s="450"/>
      <c r="BAV105" s="450"/>
      <c r="BAW105" s="450"/>
      <c r="BAX105" s="450"/>
      <c r="BAY105" s="450"/>
      <c r="BAZ105" s="450"/>
      <c r="BBA105" s="450"/>
      <c r="BBB105" s="450"/>
      <c r="BBC105" s="450"/>
      <c r="BBD105" s="450"/>
      <c r="BBE105" s="450"/>
      <c r="BBF105" s="450"/>
      <c r="BBG105" s="450"/>
      <c r="BBH105" s="450"/>
      <c r="BBI105" s="450"/>
      <c r="BBJ105" s="450"/>
      <c r="BBK105" s="450"/>
      <c r="BBL105" s="450"/>
      <c r="BBM105" s="450"/>
      <c r="BBN105" s="450"/>
      <c r="BBO105" s="450"/>
      <c r="BBP105" s="450"/>
      <c r="BBQ105" s="450"/>
      <c r="BBR105" s="450"/>
      <c r="BBS105" s="450"/>
      <c r="BBT105" s="450"/>
      <c r="BBU105" s="450"/>
      <c r="BBV105" s="450"/>
      <c r="BBW105" s="450"/>
      <c r="BBX105" s="450"/>
      <c r="BBY105" s="450"/>
      <c r="BBZ105" s="450"/>
      <c r="BCA105" s="450"/>
      <c r="BCB105" s="450"/>
      <c r="BCC105" s="450"/>
      <c r="BCD105" s="450"/>
      <c r="BCE105" s="450"/>
      <c r="BCF105" s="450"/>
      <c r="BCG105" s="450"/>
      <c r="BCH105" s="450"/>
      <c r="BCI105" s="450"/>
      <c r="BCJ105" s="450"/>
      <c r="BCK105" s="450"/>
      <c r="BCL105" s="450"/>
      <c r="BCM105" s="450"/>
      <c r="BCN105" s="450"/>
      <c r="BCO105" s="450"/>
      <c r="BCP105" s="450"/>
      <c r="BCQ105" s="450"/>
      <c r="BCR105" s="450"/>
      <c r="BCS105" s="450"/>
      <c r="BCT105" s="450"/>
      <c r="BCU105" s="450"/>
      <c r="BCV105" s="450"/>
      <c r="BCW105" s="450"/>
      <c r="BCX105" s="450"/>
      <c r="BCY105" s="450"/>
      <c r="BCZ105" s="450"/>
      <c r="BDA105" s="450"/>
      <c r="BDB105" s="450"/>
      <c r="BDC105" s="450"/>
      <c r="BDD105" s="450"/>
      <c r="BDE105" s="450"/>
      <c r="BDF105" s="450"/>
      <c r="BDG105" s="450"/>
      <c r="BDH105" s="450"/>
      <c r="BDI105" s="450"/>
      <c r="BDJ105" s="450"/>
      <c r="BDK105" s="450"/>
      <c r="BDL105" s="450"/>
      <c r="BDM105" s="450"/>
      <c r="BDN105" s="450"/>
      <c r="BDO105" s="450"/>
      <c r="BDP105" s="450"/>
      <c r="BDQ105" s="450"/>
      <c r="BDR105" s="450"/>
      <c r="BDS105" s="450"/>
      <c r="BDT105" s="450"/>
      <c r="BDU105" s="450"/>
      <c r="BDV105" s="450"/>
      <c r="BDW105" s="450"/>
      <c r="BDX105" s="450"/>
      <c r="BDY105" s="450"/>
      <c r="BDZ105" s="450"/>
      <c r="BEA105" s="450"/>
      <c r="BEB105" s="450"/>
      <c r="BEC105" s="450"/>
      <c r="BED105" s="450"/>
      <c r="BEE105" s="450"/>
      <c r="BEF105" s="450"/>
      <c r="BEG105" s="450"/>
      <c r="BEH105" s="450"/>
      <c r="BEI105" s="450"/>
      <c r="BEJ105" s="450"/>
      <c r="BEK105" s="450"/>
      <c r="BEL105" s="450"/>
      <c r="BEM105" s="450"/>
      <c r="BEN105" s="450"/>
      <c r="BEO105" s="450"/>
      <c r="BEP105" s="450"/>
      <c r="BEQ105" s="450"/>
      <c r="BER105" s="450"/>
      <c r="BES105" s="450"/>
      <c r="BET105" s="450"/>
      <c r="BEU105" s="450"/>
      <c r="BEV105" s="450"/>
      <c r="BEW105" s="450"/>
      <c r="BEX105" s="450"/>
      <c r="BEY105" s="450"/>
      <c r="BEZ105" s="450"/>
      <c r="BFA105" s="450"/>
      <c r="BFB105" s="450"/>
      <c r="BFC105" s="450"/>
      <c r="BFD105" s="450"/>
      <c r="BFE105" s="450"/>
      <c r="BFF105" s="450"/>
      <c r="BFG105" s="450"/>
      <c r="BFH105" s="450"/>
      <c r="BFI105" s="450"/>
      <c r="BFJ105" s="450"/>
      <c r="BFK105" s="450"/>
      <c r="BFL105" s="450"/>
      <c r="BFM105" s="450"/>
      <c r="BFN105" s="450"/>
      <c r="BFO105" s="450"/>
      <c r="BFP105" s="450"/>
      <c r="BFQ105" s="450"/>
      <c r="BFR105" s="450"/>
      <c r="BFS105" s="450"/>
      <c r="BFT105" s="450"/>
      <c r="BFU105" s="450"/>
      <c r="BFV105" s="450"/>
      <c r="BFW105" s="450"/>
      <c r="BFX105" s="450"/>
      <c r="BFY105" s="450"/>
      <c r="BFZ105" s="450"/>
      <c r="BGA105" s="450"/>
      <c r="BGB105" s="450"/>
      <c r="BGC105" s="450"/>
      <c r="BGD105" s="450"/>
      <c r="BGE105" s="450"/>
      <c r="BGF105" s="450"/>
      <c r="BGG105" s="450"/>
      <c r="BGH105" s="450"/>
      <c r="BGI105" s="450"/>
      <c r="BGJ105" s="450"/>
      <c r="BGK105" s="450"/>
      <c r="BGL105" s="450"/>
      <c r="BGM105" s="450"/>
      <c r="BGN105" s="450"/>
      <c r="BGO105" s="450"/>
      <c r="BGP105" s="450"/>
      <c r="BGQ105" s="450"/>
      <c r="BGR105" s="450"/>
      <c r="BGS105" s="450"/>
      <c r="BGT105" s="450"/>
      <c r="BGU105" s="450"/>
      <c r="BGV105" s="450"/>
      <c r="BGW105" s="450"/>
      <c r="BGX105" s="450"/>
      <c r="BGY105" s="450"/>
      <c r="BGZ105" s="450"/>
      <c r="BHA105" s="450"/>
      <c r="BHB105" s="450"/>
      <c r="BHC105" s="450"/>
      <c r="BHD105" s="450"/>
      <c r="BHE105" s="450"/>
      <c r="BHF105" s="450"/>
      <c r="BHG105" s="450"/>
      <c r="BHH105" s="450"/>
      <c r="BHI105" s="450"/>
      <c r="BHJ105" s="450"/>
      <c r="BHK105" s="450"/>
      <c r="BHL105" s="450"/>
      <c r="BHM105" s="450"/>
      <c r="BHN105" s="450"/>
      <c r="BHO105" s="450"/>
      <c r="BHP105" s="450"/>
      <c r="BHQ105" s="450"/>
      <c r="BHR105" s="450"/>
      <c r="BHS105" s="450"/>
      <c r="BHT105" s="450"/>
      <c r="BHU105" s="450"/>
      <c r="BHV105" s="450"/>
      <c r="BHW105" s="450"/>
      <c r="BHX105" s="450"/>
      <c r="BHY105" s="450"/>
      <c r="BHZ105" s="450"/>
      <c r="BIA105" s="450"/>
      <c r="BIB105" s="450"/>
      <c r="BIC105" s="450"/>
      <c r="BID105" s="450"/>
      <c r="BIE105" s="450"/>
      <c r="BIF105" s="450"/>
      <c r="BIG105" s="450"/>
      <c r="BIH105" s="450"/>
      <c r="BII105" s="450"/>
      <c r="BIJ105" s="450"/>
      <c r="BIK105" s="450"/>
      <c r="BIL105" s="450"/>
      <c r="BIM105" s="450"/>
      <c r="BIN105" s="450"/>
      <c r="BIO105" s="450"/>
      <c r="BIP105" s="450"/>
      <c r="BIQ105" s="450"/>
      <c r="BIR105" s="450"/>
      <c r="BIS105" s="450"/>
      <c r="BIT105" s="450"/>
      <c r="BIU105" s="450"/>
      <c r="BIV105" s="450"/>
      <c r="BIW105" s="450"/>
      <c r="BIX105" s="450"/>
      <c r="BIY105" s="450"/>
      <c r="BIZ105" s="450"/>
      <c r="BJA105" s="450"/>
      <c r="BJB105" s="450"/>
      <c r="BJC105" s="450"/>
      <c r="BJD105" s="450"/>
      <c r="BJE105" s="450"/>
      <c r="BJF105" s="450"/>
      <c r="BJG105" s="450"/>
      <c r="BJH105" s="450"/>
      <c r="BJI105" s="450"/>
      <c r="BJJ105" s="450"/>
      <c r="BJK105" s="450"/>
      <c r="BJL105" s="450"/>
      <c r="BJM105" s="450"/>
      <c r="BJN105" s="450"/>
      <c r="BJO105" s="450"/>
      <c r="BJP105" s="450"/>
      <c r="BJQ105" s="450"/>
      <c r="BJR105" s="450"/>
      <c r="BJS105" s="450"/>
      <c r="BJT105" s="450"/>
      <c r="BJU105" s="450"/>
      <c r="BJV105" s="450"/>
      <c r="BJW105" s="450"/>
      <c r="BJX105" s="450"/>
      <c r="BJY105" s="450"/>
      <c r="BJZ105" s="450"/>
      <c r="BKA105" s="450"/>
      <c r="BKB105" s="450"/>
      <c r="BKC105" s="450"/>
      <c r="BKD105" s="450"/>
      <c r="BKE105" s="450"/>
      <c r="BKF105" s="450"/>
      <c r="BKG105" s="450"/>
      <c r="BKH105" s="450"/>
      <c r="BKI105" s="450"/>
      <c r="BKJ105" s="450"/>
      <c r="BKK105" s="450"/>
      <c r="BKL105" s="450"/>
      <c r="BKM105" s="450"/>
      <c r="BKN105" s="450"/>
      <c r="BKO105" s="450"/>
      <c r="BKP105" s="450"/>
      <c r="BKQ105" s="450"/>
      <c r="BKR105" s="450"/>
      <c r="BKS105" s="450"/>
      <c r="BKT105" s="450"/>
      <c r="BKU105" s="450"/>
      <c r="BKV105" s="450"/>
      <c r="BKW105" s="450"/>
      <c r="BKX105" s="450"/>
      <c r="BKY105" s="450"/>
      <c r="BKZ105" s="450"/>
      <c r="BLA105" s="450"/>
      <c r="BLB105" s="450"/>
      <c r="BLC105" s="450"/>
      <c r="BLD105" s="450"/>
      <c r="BLE105" s="450"/>
      <c r="BLF105" s="450"/>
      <c r="BLG105" s="450"/>
      <c r="BLH105" s="450"/>
      <c r="BLI105" s="450"/>
      <c r="BLJ105" s="450"/>
      <c r="BLK105" s="450"/>
      <c r="BLL105" s="450"/>
      <c r="BLM105" s="450"/>
      <c r="BLN105" s="450"/>
      <c r="BLO105" s="450"/>
      <c r="BLP105" s="450"/>
      <c r="BLQ105" s="450"/>
      <c r="BLR105" s="450"/>
      <c r="BLS105" s="450"/>
      <c r="BLT105" s="450"/>
      <c r="BLU105" s="450"/>
      <c r="BLV105" s="450"/>
      <c r="BLW105" s="450"/>
      <c r="BLX105" s="450"/>
      <c r="BLY105" s="450"/>
      <c r="BLZ105" s="450"/>
      <c r="BMA105" s="450"/>
      <c r="BMB105" s="450"/>
      <c r="BMC105" s="450"/>
      <c r="BMD105" s="450"/>
      <c r="BME105" s="450"/>
      <c r="BMF105" s="450"/>
      <c r="BMG105" s="450"/>
      <c r="BMH105" s="450"/>
      <c r="BMI105" s="450"/>
      <c r="BMJ105" s="450"/>
      <c r="BMK105" s="450"/>
      <c r="BML105" s="450"/>
      <c r="BMM105" s="450"/>
      <c r="BMN105" s="450"/>
      <c r="BMO105" s="450"/>
      <c r="BMP105" s="450"/>
      <c r="BMQ105" s="450"/>
      <c r="BMR105" s="450"/>
      <c r="BMS105" s="450"/>
      <c r="BMT105" s="450"/>
      <c r="BMU105" s="450"/>
      <c r="BMV105" s="450"/>
      <c r="BMW105" s="450"/>
      <c r="BMX105" s="450"/>
      <c r="BMY105" s="450"/>
      <c r="BMZ105" s="450"/>
      <c r="BNA105" s="450"/>
      <c r="BNB105" s="450"/>
      <c r="BNC105" s="450"/>
      <c r="BND105" s="450"/>
      <c r="BNE105" s="450"/>
      <c r="BNF105" s="450"/>
      <c r="BNG105" s="450"/>
      <c r="BNH105" s="450"/>
      <c r="BNI105" s="450"/>
      <c r="BNJ105" s="450"/>
      <c r="BNK105" s="450"/>
      <c r="BNL105" s="450"/>
      <c r="BNM105" s="450"/>
      <c r="BNN105" s="450"/>
      <c r="BNO105" s="450"/>
      <c r="BNP105" s="450"/>
      <c r="BNQ105" s="450"/>
      <c r="BNR105" s="450"/>
      <c r="BNS105" s="450"/>
      <c r="BNT105" s="450"/>
      <c r="BNU105" s="450"/>
      <c r="BNV105" s="450"/>
      <c r="BNW105" s="450"/>
      <c r="BNX105" s="450"/>
      <c r="BNY105" s="450"/>
      <c r="BNZ105" s="450"/>
      <c r="BOA105" s="450"/>
      <c r="BOB105" s="450"/>
      <c r="BOC105" s="450"/>
      <c r="BOD105" s="450"/>
      <c r="BOE105" s="450"/>
      <c r="BOF105" s="450"/>
      <c r="BOG105" s="450"/>
      <c r="BOH105" s="450"/>
      <c r="BOI105" s="450"/>
      <c r="BOJ105" s="450"/>
      <c r="BOK105" s="450"/>
      <c r="BOL105" s="450"/>
      <c r="BOM105" s="450"/>
      <c r="BON105" s="450"/>
      <c r="BOO105" s="450"/>
      <c r="BOP105" s="450"/>
      <c r="BOQ105" s="450"/>
      <c r="BOR105" s="450"/>
      <c r="BOS105" s="450"/>
      <c r="BOT105" s="450"/>
      <c r="BOU105" s="450"/>
      <c r="BOV105" s="450"/>
      <c r="BOW105" s="450"/>
      <c r="BOX105" s="450"/>
      <c r="BOY105" s="450"/>
      <c r="BOZ105" s="450"/>
      <c r="BPA105" s="450"/>
      <c r="BPB105" s="450"/>
      <c r="BPC105" s="450"/>
      <c r="BPD105" s="450"/>
      <c r="BPE105" s="450"/>
      <c r="BPF105" s="450"/>
      <c r="BPG105" s="450"/>
      <c r="BPH105" s="450"/>
      <c r="BPI105" s="450"/>
      <c r="BPJ105" s="450"/>
      <c r="BPK105" s="450"/>
      <c r="BPL105" s="450"/>
      <c r="BPM105" s="450"/>
      <c r="BPN105" s="450"/>
      <c r="BPO105" s="450"/>
      <c r="BPP105" s="450"/>
      <c r="BPQ105" s="450"/>
      <c r="BPR105" s="450"/>
      <c r="BPS105" s="450"/>
      <c r="BPT105" s="450"/>
      <c r="BPU105" s="450"/>
      <c r="BPV105" s="450"/>
      <c r="BPW105" s="450"/>
      <c r="BPX105" s="450"/>
      <c r="BPY105" s="450"/>
      <c r="BPZ105" s="450"/>
      <c r="BQA105" s="450"/>
      <c r="BQB105" s="450"/>
      <c r="BQC105" s="450"/>
      <c r="BQD105" s="450"/>
      <c r="BQE105" s="450"/>
      <c r="BQF105" s="450"/>
      <c r="BQG105" s="450"/>
      <c r="BQH105" s="450"/>
      <c r="BQI105" s="450"/>
      <c r="BQJ105" s="450"/>
      <c r="BQK105" s="450"/>
      <c r="BQL105" s="450"/>
      <c r="BQM105" s="450"/>
      <c r="BQN105" s="450"/>
      <c r="BQO105" s="450"/>
      <c r="BQP105" s="450"/>
      <c r="BQQ105" s="450"/>
      <c r="BQR105" s="450"/>
      <c r="BQS105" s="450"/>
      <c r="BQT105" s="450"/>
      <c r="BQU105" s="450"/>
      <c r="BQV105" s="450"/>
      <c r="BQW105" s="450"/>
      <c r="BQX105" s="450"/>
      <c r="BQY105" s="450"/>
      <c r="BQZ105" s="450"/>
      <c r="BRA105" s="450"/>
      <c r="BRB105" s="450"/>
      <c r="BRC105" s="450"/>
      <c r="BRD105" s="450"/>
      <c r="BRE105" s="450"/>
      <c r="BRF105" s="450"/>
      <c r="BRG105" s="450"/>
      <c r="BRH105" s="450"/>
      <c r="BRI105" s="450"/>
      <c r="BRJ105" s="450"/>
      <c r="BRK105" s="450"/>
      <c r="BRL105" s="450"/>
      <c r="BRM105" s="450"/>
      <c r="BRN105" s="450"/>
      <c r="BRO105" s="450"/>
      <c r="BRP105" s="450"/>
      <c r="BRQ105" s="450"/>
      <c r="BRR105" s="450"/>
      <c r="BRS105" s="450"/>
      <c r="BRT105" s="450"/>
      <c r="BRU105" s="450"/>
      <c r="BRV105" s="450"/>
      <c r="BRW105" s="450"/>
      <c r="BRX105" s="450"/>
      <c r="BRY105" s="450"/>
      <c r="BRZ105" s="450"/>
      <c r="BSA105" s="450"/>
      <c r="BSB105" s="450"/>
      <c r="BSC105" s="450"/>
      <c r="BSD105" s="450"/>
      <c r="BSE105" s="450"/>
      <c r="BSF105" s="450"/>
      <c r="BSG105" s="450"/>
      <c r="BSH105" s="450"/>
      <c r="BSI105" s="450"/>
      <c r="BSJ105" s="450"/>
      <c r="BSK105" s="450"/>
      <c r="BSL105" s="450"/>
      <c r="BSM105" s="450"/>
      <c r="BSN105" s="450"/>
      <c r="BSO105" s="450"/>
      <c r="BSP105" s="450"/>
      <c r="BSQ105" s="450"/>
      <c r="BSR105" s="450"/>
      <c r="BSS105" s="450"/>
      <c r="BST105" s="450"/>
      <c r="BSU105" s="450"/>
      <c r="BSV105" s="450"/>
      <c r="BSW105" s="450"/>
      <c r="BSX105" s="450"/>
      <c r="BSY105" s="450"/>
      <c r="BSZ105" s="450"/>
      <c r="BTA105" s="450"/>
      <c r="BTB105" s="450"/>
      <c r="BTC105" s="450"/>
      <c r="BTD105" s="450"/>
      <c r="BTE105" s="450"/>
      <c r="BTF105" s="450"/>
      <c r="BTG105" s="450"/>
      <c r="BTH105" s="450"/>
      <c r="BTI105" s="450"/>
      <c r="BTJ105" s="450"/>
      <c r="BTK105" s="450"/>
      <c r="BTL105" s="450"/>
      <c r="BTM105" s="450"/>
      <c r="BTN105" s="450"/>
      <c r="BTO105" s="450"/>
      <c r="BTP105" s="450"/>
      <c r="BTQ105" s="450"/>
      <c r="BTR105" s="450"/>
      <c r="BTS105" s="450"/>
      <c r="BTT105" s="450"/>
      <c r="BTU105" s="450"/>
      <c r="BTV105" s="450"/>
      <c r="BTW105" s="450"/>
      <c r="BTX105" s="450"/>
      <c r="BTY105" s="450"/>
      <c r="BTZ105" s="450"/>
      <c r="BUA105" s="450"/>
      <c r="BUB105" s="450"/>
      <c r="BUC105" s="450"/>
      <c r="BUD105" s="450"/>
      <c r="BUE105" s="450"/>
      <c r="BUF105" s="450"/>
      <c r="BUG105" s="450"/>
      <c r="BUH105" s="450"/>
      <c r="BUI105" s="450"/>
      <c r="BUJ105" s="450"/>
      <c r="BUK105" s="450"/>
      <c r="BUL105" s="450"/>
      <c r="BUM105" s="450"/>
      <c r="BUN105" s="450"/>
      <c r="BUO105" s="450"/>
      <c r="BUP105" s="450"/>
      <c r="BUQ105" s="450"/>
      <c r="BUR105" s="450"/>
      <c r="BUS105" s="450"/>
      <c r="BUT105" s="450"/>
      <c r="BUU105" s="450"/>
      <c r="BUV105" s="450"/>
      <c r="BUW105" s="450"/>
      <c r="BUX105" s="450"/>
      <c r="BUY105" s="450"/>
      <c r="BUZ105" s="450"/>
      <c r="BVA105" s="450"/>
      <c r="BVB105" s="450"/>
      <c r="BVC105" s="450"/>
      <c r="BVD105" s="450"/>
      <c r="BVE105" s="450"/>
      <c r="BVF105" s="450"/>
      <c r="BVG105" s="450"/>
      <c r="BVH105" s="450"/>
      <c r="BVI105" s="450"/>
      <c r="BVJ105" s="450"/>
      <c r="BVK105" s="450"/>
      <c r="BVL105" s="450"/>
      <c r="BVM105" s="450"/>
      <c r="BVN105" s="450"/>
      <c r="BVO105" s="450"/>
      <c r="BVP105" s="450"/>
      <c r="BVQ105" s="450"/>
      <c r="BVR105" s="450"/>
      <c r="BVS105" s="450"/>
      <c r="BVT105" s="450"/>
      <c r="BVU105" s="450"/>
      <c r="BVV105" s="450"/>
      <c r="BVW105" s="450"/>
      <c r="BVX105" s="450"/>
      <c r="BVY105" s="450"/>
      <c r="BVZ105" s="450"/>
      <c r="BWA105" s="450"/>
      <c r="BWB105" s="450"/>
      <c r="BWC105" s="450"/>
      <c r="BWD105" s="450"/>
      <c r="BWE105" s="450"/>
      <c r="BWF105" s="450"/>
      <c r="BWG105" s="450"/>
      <c r="BWH105" s="450"/>
      <c r="BWI105" s="450"/>
      <c r="BWJ105" s="450"/>
      <c r="BWK105" s="450"/>
      <c r="BWL105" s="450"/>
      <c r="BWM105" s="450"/>
      <c r="BWN105" s="450"/>
      <c r="BWO105" s="450"/>
      <c r="BWP105" s="450"/>
      <c r="BWQ105" s="450"/>
      <c r="BWR105" s="450"/>
      <c r="BWS105" s="450"/>
      <c r="BWT105" s="450"/>
      <c r="BWU105" s="450"/>
      <c r="BWV105" s="450"/>
      <c r="BWW105" s="450"/>
      <c r="BWX105" s="450"/>
      <c r="BWY105" s="450"/>
      <c r="BWZ105" s="450"/>
      <c r="BXA105" s="450"/>
      <c r="BXB105" s="450"/>
      <c r="BXC105" s="450"/>
      <c r="BXD105" s="450"/>
      <c r="BXE105" s="450"/>
      <c r="BXF105" s="450"/>
      <c r="BXG105" s="450"/>
      <c r="BXH105" s="450"/>
      <c r="BXI105" s="450"/>
      <c r="BXJ105" s="450"/>
      <c r="BXK105" s="450"/>
      <c r="BXL105" s="450"/>
      <c r="BXM105" s="450"/>
      <c r="BXN105" s="450"/>
      <c r="BXO105" s="450"/>
      <c r="BXP105" s="450"/>
      <c r="BXQ105" s="450"/>
      <c r="BXR105" s="450"/>
      <c r="BXS105" s="450"/>
      <c r="BXT105" s="450"/>
      <c r="BXU105" s="450"/>
      <c r="BXV105" s="450"/>
      <c r="BXW105" s="450"/>
      <c r="BXX105" s="450"/>
      <c r="BXY105" s="450"/>
      <c r="BXZ105" s="450"/>
      <c r="BYA105" s="450"/>
      <c r="BYB105" s="450"/>
      <c r="BYC105" s="450"/>
      <c r="BYD105" s="450"/>
      <c r="BYE105" s="450"/>
      <c r="BYF105" s="450"/>
      <c r="BYG105" s="450"/>
      <c r="BYH105" s="450"/>
      <c r="BYI105" s="450"/>
      <c r="BYJ105" s="450"/>
      <c r="BYK105" s="450"/>
      <c r="BYL105" s="450"/>
      <c r="BYM105" s="450"/>
      <c r="BYN105" s="450"/>
      <c r="BYO105" s="450"/>
      <c r="BYP105" s="450"/>
      <c r="BYQ105" s="450"/>
      <c r="BYR105" s="450"/>
      <c r="BYS105" s="450"/>
      <c r="BYT105" s="450"/>
      <c r="BYU105" s="450"/>
      <c r="BYV105" s="450"/>
      <c r="BYW105" s="450"/>
      <c r="BYX105" s="450"/>
      <c r="BYY105" s="450"/>
      <c r="BYZ105" s="450"/>
      <c r="BZA105" s="450"/>
      <c r="BZB105" s="450"/>
      <c r="BZC105" s="450"/>
      <c r="BZD105" s="450"/>
      <c r="BZE105" s="450"/>
      <c r="BZF105" s="450"/>
      <c r="BZG105" s="450"/>
      <c r="BZH105" s="450"/>
      <c r="BZI105" s="450"/>
      <c r="BZJ105" s="450"/>
      <c r="BZK105" s="450"/>
      <c r="BZL105" s="450"/>
      <c r="BZM105" s="450"/>
      <c r="BZN105" s="450"/>
      <c r="BZO105" s="450"/>
      <c r="BZP105" s="450"/>
      <c r="BZQ105" s="450"/>
      <c r="BZR105" s="450"/>
      <c r="BZS105" s="450"/>
      <c r="BZT105" s="450"/>
      <c r="BZU105" s="450"/>
      <c r="BZV105" s="450"/>
      <c r="BZW105" s="450"/>
      <c r="BZX105" s="450"/>
      <c r="BZY105" s="450"/>
      <c r="BZZ105" s="450"/>
      <c r="CAA105" s="450"/>
      <c r="CAB105" s="450"/>
      <c r="CAC105" s="450"/>
      <c r="CAD105" s="450"/>
      <c r="CAE105" s="450"/>
      <c r="CAF105" s="450"/>
      <c r="CAG105" s="450"/>
      <c r="CAH105" s="450"/>
      <c r="CAI105" s="450"/>
      <c r="CAJ105" s="450"/>
      <c r="CAK105" s="450"/>
      <c r="CAL105" s="450"/>
      <c r="CAM105" s="450"/>
      <c r="CAN105" s="450"/>
      <c r="CAO105" s="450"/>
      <c r="CAP105" s="450"/>
      <c r="CAQ105" s="450"/>
      <c r="CAR105" s="450"/>
      <c r="CAS105" s="450"/>
      <c r="CAT105" s="450"/>
      <c r="CAU105" s="450"/>
      <c r="CAV105" s="450"/>
      <c r="CAW105" s="450"/>
      <c r="CAX105" s="450"/>
      <c r="CAY105" s="450"/>
      <c r="CAZ105" s="450"/>
      <c r="CBA105" s="450"/>
      <c r="CBB105" s="450"/>
      <c r="CBC105" s="450"/>
      <c r="CBD105" s="450"/>
      <c r="CBE105" s="450"/>
      <c r="CBF105" s="450"/>
      <c r="CBG105" s="450"/>
      <c r="CBH105" s="450"/>
      <c r="CBI105" s="450"/>
      <c r="CBJ105" s="450"/>
      <c r="CBK105" s="450"/>
      <c r="CBL105" s="450"/>
      <c r="CBM105" s="450"/>
      <c r="CBN105" s="450"/>
      <c r="CBO105" s="450"/>
      <c r="CBP105" s="450"/>
      <c r="CBQ105" s="450"/>
      <c r="CBR105" s="450"/>
      <c r="CBS105" s="450"/>
      <c r="CBT105" s="450"/>
      <c r="CBU105" s="450"/>
      <c r="CBV105" s="450"/>
      <c r="CBW105" s="450"/>
      <c r="CBX105" s="450"/>
      <c r="CBY105" s="450"/>
      <c r="CBZ105" s="450"/>
      <c r="CCA105" s="450"/>
      <c r="CCB105" s="450"/>
      <c r="CCC105" s="450"/>
      <c r="CCD105" s="450"/>
      <c r="CCE105" s="450"/>
      <c r="CCF105" s="450"/>
      <c r="CCG105" s="450"/>
      <c r="CCH105" s="450"/>
      <c r="CCI105" s="450"/>
      <c r="CCJ105" s="450"/>
      <c r="CCK105" s="450"/>
      <c r="CCL105" s="450"/>
      <c r="CCM105" s="450"/>
      <c r="CCN105" s="450"/>
      <c r="CCO105" s="450"/>
      <c r="CCP105" s="450"/>
      <c r="CCQ105" s="450"/>
      <c r="CCR105" s="450"/>
      <c r="CCS105" s="450"/>
      <c r="CCT105" s="450"/>
      <c r="CCU105" s="450"/>
      <c r="CCV105" s="450"/>
      <c r="CCW105" s="450"/>
      <c r="CCX105" s="450"/>
      <c r="CCY105" s="450"/>
      <c r="CCZ105" s="450"/>
      <c r="CDA105" s="450"/>
      <c r="CDB105" s="450"/>
      <c r="CDC105" s="450"/>
      <c r="CDD105" s="450"/>
      <c r="CDE105" s="450"/>
      <c r="CDF105" s="450"/>
      <c r="CDG105" s="450"/>
      <c r="CDH105" s="450"/>
      <c r="CDI105" s="450"/>
      <c r="CDJ105" s="450"/>
      <c r="CDK105" s="450"/>
      <c r="CDL105" s="450"/>
      <c r="CDM105" s="450"/>
      <c r="CDN105" s="450"/>
      <c r="CDO105" s="450"/>
      <c r="CDP105" s="450"/>
      <c r="CDQ105" s="450"/>
      <c r="CDR105" s="450"/>
      <c r="CDS105" s="450"/>
      <c r="CDT105" s="450"/>
      <c r="CDU105" s="450"/>
      <c r="CDV105" s="450"/>
      <c r="CDW105" s="450"/>
      <c r="CDX105" s="450"/>
      <c r="CDY105" s="450"/>
      <c r="CDZ105" s="450"/>
      <c r="CEA105" s="450"/>
      <c r="CEB105" s="450"/>
      <c r="CEC105" s="450"/>
      <c r="CED105" s="450"/>
      <c r="CEE105" s="450"/>
      <c r="CEF105" s="450"/>
      <c r="CEG105" s="450"/>
      <c r="CEH105" s="450"/>
      <c r="CEI105" s="450"/>
      <c r="CEJ105" s="450"/>
      <c r="CEK105" s="450"/>
      <c r="CEL105" s="450"/>
      <c r="CEM105" s="450"/>
      <c r="CEN105" s="450"/>
      <c r="CEO105" s="450"/>
      <c r="CEP105" s="450"/>
      <c r="CEQ105" s="450"/>
      <c r="CER105" s="450"/>
      <c r="CES105" s="450"/>
      <c r="CET105" s="450"/>
      <c r="CEU105" s="450"/>
      <c r="CEV105" s="450"/>
      <c r="CEW105" s="450"/>
      <c r="CEX105" s="450"/>
      <c r="CEY105" s="450"/>
      <c r="CEZ105" s="450"/>
      <c r="CFA105" s="450"/>
      <c r="CFB105" s="450"/>
      <c r="CFC105" s="450"/>
      <c r="CFD105" s="450"/>
      <c r="CFE105" s="450"/>
      <c r="CFF105" s="450"/>
      <c r="CFG105" s="450"/>
      <c r="CFH105" s="450"/>
      <c r="CFI105" s="450"/>
      <c r="CFJ105" s="450"/>
      <c r="CFK105" s="450"/>
      <c r="CFL105" s="450"/>
      <c r="CFM105" s="450"/>
      <c r="CFN105" s="450"/>
      <c r="CFO105" s="450"/>
      <c r="CFP105" s="450"/>
      <c r="CFQ105" s="450"/>
      <c r="CFR105" s="450"/>
      <c r="CFS105" s="450"/>
      <c r="CFT105" s="450"/>
      <c r="CFU105" s="450"/>
      <c r="CFV105" s="450"/>
      <c r="CFW105" s="450"/>
      <c r="CFX105" s="450"/>
      <c r="CFY105" s="450"/>
      <c r="CFZ105" s="450"/>
      <c r="CGA105" s="450"/>
      <c r="CGB105" s="450"/>
      <c r="CGC105" s="450"/>
      <c r="CGD105" s="450"/>
      <c r="CGE105" s="450"/>
      <c r="CGF105" s="450"/>
      <c r="CGG105" s="450"/>
      <c r="CGH105" s="450"/>
      <c r="CGI105" s="450"/>
      <c r="CGJ105" s="450"/>
      <c r="CGK105" s="450"/>
      <c r="CGL105" s="450"/>
      <c r="CGM105" s="450"/>
      <c r="CGN105" s="450"/>
      <c r="CGO105" s="450"/>
      <c r="CGP105" s="450"/>
      <c r="CGQ105" s="450"/>
      <c r="CGR105" s="450"/>
      <c r="CGS105" s="450"/>
      <c r="CGT105" s="450"/>
      <c r="CGU105" s="450"/>
      <c r="CGV105" s="450"/>
      <c r="CGW105" s="450"/>
      <c r="CGX105" s="450"/>
      <c r="CGY105" s="450"/>
      <c r="CGZ105" s="450"/>
      <c r="CHA105" s="450"/>
      <c r="CHB105" s="450"/>
      <c r="CHC105" s="450"/>
      <c r="CHD105" s="450"/>
      <c r="CHE105" s="450"/>
      <c r="CHF105" s="450"/>
      <c r="CHG105" s="450"/>
      <c r="CHH105" s="450"/>
      <c r="CHI105" s="450"/>
      <c r="CHJ105" s="450"/>
      <c r="CHK105" s="450"/>
      <c r="CHL105" s="450"/>
      <c r="CHM105" s="450"/>
      <c r="CHN105" s="450"/>
      <c r="CHO105" s="450"/>
      <c r="CHP105" s="450"/>
      <c r="CHQ105" s="450"/>
      <c r="CHR105" s="450"/>
      <c r="CHS105" s="450"/>
      <c r="CHT105" s="450"/>
      <c r="CHU105" s="450"/>
      <c r="CHV105" s="450"/>
      <c r="CHW105" s="450"/>
      <c r="CHX105" s="450"/>
      <c r="CHY105" s="450"/>
      <c r="CHZ105" s="450"/>
      <c r="CIA105" s="450"/>
      <c r="CIB105" s="450"/>
      <c r="CIC105" s="450"/>
      <c r="CID105" s="450"/>
      <c r="CIE105" s="450"/>
      <c r="CIF105" s="450"/>
      <c r="CIG105" s="450"/>
      <c r="CIH105" s="450"/>
      <c r="CII105" s="450"/>
      <c r="CIJ105" s="450"/>
      <c r="CIK105" s="450"/>
      <c r="CIL105" s="450"/>
      <c r="CIM105" s="450"/>
      <c r="CIN105" s="450"/>
      <c r="CIO105" s="450"/>
      <c r="CIP105" s="450"/>
      <c r="CIQ105" s="450"/>
      <c r="CIR105" s="450"/>
      <c r="CIS105" s="450"/>
      <c r="CIT105" s="450"/>
      <c r="CIU105" s="450"/>
      <c r="CIV105" s="450"/>
      <c r="CIW105" s="450"/>
      <c r="CIX105" s="450"/>
      <c r="CIY105" s="450"/>
      <c r="CIZ105" s="450"/>
      <c r="CJA105" s="450"/>
      <c r="CJB105" s="450"/>
      <c r="CJC105" s="450"/>
      <c r="CJD105" s="450"/>
      <c r="CJE105" s="450"/>
      <c r="CJF105" s="450"/>
      <c r="CJG105" s="450"/>
      <c r="CJH105" s="450"/>
      <c r="CJI105" s="450"/>
      <c r="CJJ105" s="450"/>
      <c r="CJK105" s="450"/>
      <c r="CJL105" s="450"/>
      <c r="CJM105" s="450"/>
      <c r="CJN105" s="450"/>
      <c r="CJO105" s="450"/>
      <c r="CJP105" s="450"/>
      <c r="CJQ105" s="450"/>
      <c r="CJR105" s="450"/>
      <c r="CJS105" s="450"/>
      <c r="CJT105" s="450"/>
      <c r="CJU105" s="450"/>
      <c r="CJV105" s="450"/>
      <c r="CJW105" s="450"/>
      <c r="CJX105" s="450"/>
      <c r="CJY105" s="450"/>
      <c r="CJZ105" s="450"/>
      <c r="CKA105" s="450"/>
      <c r="CKB105" s="450"/>
      <c r="CKC105" s="450"/>
      <c r="CKD105" s="450"/>
      <c r="CKE105" s="450"/>
      <c r="CKF105" s="450"/>
      <c r="CKG105" s="450"/>
      <c r="CKH105" s="450"/>
      <c r="CKI105" s="450"/>
      <c r="CKJ105" s="450"/>
      <c r="CKK105" s="450"/>
      <c r="CKL105" s="450"/>
      <c r="CKM105" s="450"/>
      <c r="CKN105" s="450"/>
      <c r="CKO105" s="450"/>
      <c r="CKP105" s="450"/>
      <c r="CKQ105" s="450"/>
      <c r="CKR105" s="450"/>
      <c r="CKS105" s="450"/>
      <c r="CKT105" s="450"/>
      <c r="CKU105" s="450"/>
      <c r="CKV105" s="450"/>
      <c r="CKW105" s="450"/>
      <c r="CKX105" s="450"/>
      <c r="CKY105" s="450"/>
      <c r="CKZ105" s="450"/>
      <c r="CLA105" s="450"/>
      <c r="CLB105" s="450"/>
      <c r="CLC105" s="450"/>
      <c r="CLD105" s="450"/>
      <c r="CLE105" s="450"/>
      <c r="CLF105" s="450"/>
      <c r="CLG105" s="450"/>
      <c r="CLH105" s="450"/>
      <c r="CLI105" s="450"/>
      <c r="CLJ105" s="450"/>
      <c r="CLK105" s="450"/>
      <c r="CLL105" s="450"/>
      <c r="CLM105" s="450"/>
      <c r="CLN105" s="450"/>
      <c r="CLO105" s="450"/>
      <c r="CLP105" s="450"/>
      <c r="CLQ105" s="450"/>
      <c r="CLR105" s="450"/>
      <c r="CLS105" s="450"/>
      <c r="CLT105" s="450"/>
      <c r="CLU105" s="450"/>
      <c r="CLV105" s="450"/>
      <c r="CLW105" s="450"/>
      <c r="CLX105" s="450"/>
      <c r="CLY105" s="450"/>
      <c r="CLZ105" s="450"/>
      <c r="CMA105" s="450"/>
      <c r="CMB105" s="450"/>
      <c r="CMC105" s="450"/>
      <c r="CMD105" s="450"/>
      <c r="CME105" s="450"/>
      <c r="CMF105" s="450"/>
      <c r="CMG105" s="450"/>
      <c r="CMH105" s="450"/>
      <c r="CMI105" s="450"/>
      <c r="CMJ105" s="450"/>
      <c r="CMK105" s="450"/>
      <c r="CML105" s="450"/>
      <c r="CMM105" s="450"/>
      <c r="CMN105" s="450"/>
      <c r="CMO105" s="450"/>
      <c r="CMP105" s="450"/>
      <c r="CMQ105" s="450"/>
      <c r="CMR105" s="450"/>
      <c r="CMS105" s="450"/>
      <c r="CMT105" s="450"/>
      <c r="CMU105" s="450"/>
      <c r="CMV105" s="450"/>
      <c r="CMW105" s="450"/>
      <c r="CMX105" s="450"/>
      <c r="CMY105" s="450"/>
      <c r="CMZ105" s="450"/>
      <c r="CNA105" s="450"/>
      <c r="CNB105" s="450"/>
      <c r="CNC105" s="450"/>
      <c r="CND105" s="450"/>
      <c r="CNE105" s="450"/>
      <c r="CNF105" s="450"/>
      <c r="CNG105" s="450"/>
      <c r="CNH105" s="450"/>
      <c r="CNI105" s="450"/>
      <c r="CNJ105" s="450"/>
      <c r="CNK105" s="450"/>
      <c r="CNL105" s="450"/>
      <c r="CNM105" s="450"/>
      <c r="CNN105" s="450"/>
      <c r="CNO105" s="450"/>
      <c r="CNP105" s="450"/>
      <c r="CNQ105" s="450"/>
      <c r="CNR105" s="450"/>
      <c r="CNS105" s="450"/>
      <c r="CNT105" s="450"/>
      <c r="CNU105" s="450"/>
      <c r="CNV105" s="450"/>
      <c r="CNW105" s="450"/>
      <c r="CNX105" s="450"/>
      <c r="CNY105" s="450"/>
      <c r="CNZ105" s="450"/>
      <c r="COA105" s="450"/>
      <c r="COB105" s="450"/>
      <c r="COC105" s="450"/>
      <c r="COD105" s="450"/>
      <c r="COE105" s="450"/>
      <c r="COF105" s="450"/>
      <c r="COG105" s="450"/>
      <c r="COH105" s="450"/>
      <c r="COI105" s="450"/>
      <c r="COJ105" s="450"/>
      <c r="COK105" s="450"/>
      <c r="COL105" s="450"/>
      <c r="COM105" s="450"/>
      <c r="CON105" s="450"/>
      <c r="COO105" s="450"/>
      <c r="COP105" s="450"/>
      <c r="COQ105" s="450"/>
      <c r="COR105" s="450"/>
      <c r="COS105" s="450"/>
      <c r="COT105" s="450"/>
      <c r="COU105" s="450"/>
      <c r="COV105" s="450"/>
      <c r="COW105" s="450"/>
      <c r="COX105" s="450"/>
      <c r="COY105" s="450"/>
      <c r="COZ105" s="450"/>
      <c r="CPA105" s="450"/>
      <c r="CPB105" s="450"/>
      <c r="CPC105" s="450"/>
      <c r="CPD105" s="450"/>
      <c r="CPE105" s="450"/>
      <c r="CPF105" s="450"/>
      <c r="CPG105" s="450"/>
      <c r="CPH105" s="450"/>
      <c r="CPI105" s="450"/>
      <c r="CPJ105" s="450"/>
      <c r="CPK105" s="450"/>
      <c r="CPL105" s="450"/>
      <c r="CPM105" s="450"/>
      <c r="CPN105" s="450"/>
      <c r="CPO105" s="450"/>
      <c r="CPP105" s="450"/>
      <c r="CPQ105" s="450"/>
      <c r="CPR105" s="450"/>
      <c r="CPS105" s="450"/>
      <c r="CPT105" s="450"/>
      <c r="CPU105" s="450"/>
      <c r="CPV105" s="450"/>
      <c r="CPW105" s="450"/>
      <c r="CPX105" s="450"/>
      <c r="CPY105" s="450"/>
      <c r="CPZ105" s="450"/>
      <c r="CQA105" s="450"/>
      <c r="CQB105" s="450"/>
      <c r="CQC105" s="450"/>
      <c r="CQD105" s="450"/>
      <c r="CQE105" s="450"/>
      <c r="CQF105" s="450"/>
      <c r="CQG105" s="450"/>
      <c r="CQH105" s="450"/>
      <c r="CQI105" s="450"/>
      <c r="CQJ105" s="450"/>
      <c r="CQK105" s="450"/>
      <c r="CQL105" s="450"/>
      <c r="CQM105" s="450"/>
      <c r="CQN105" s="450"/>
      <c r="CQO105" s="450"/>
      <c r="CQP105" s="450"/>
      <c r="CQQ105" s="450"/>
      <c r="CQR105" s="450"/>
      <c r="CQS105" s="450"/>
      <c r="CQT105" s="450"/>
      <c r="CQU105" s="450"/>
      <c r="CQV105" s="450"/>
      <c r="CQW105" s="450"/>
      <c r="CQX105" s="450"/>
      <c r="CQY105" s="450"/>
      <c r="CQZ105" s="450"/>
      <c r="CRA105" s="450"/>
      <c r="CRB105" s="450"/>
      <c r="CRC105" s="450"/>
      <c r="CRD105" s="450"/>
      <c r="CRE105" s="450"/>
      <c r="CRF105" s="450"/>
      <c r="CRG105" s="450"/>
      <c r="CRH105" s="450"/>
      <c r="CRI105" s="450"/>
      <c r="CRJ105" s="450"/>
      <c r="CRK105" s="450"/>
      <c r="CRL105" s="450"/>
      <c r="CRM105" s="450"/>
      <c r="CRN105" s="450"/>
      <c r="CRO105" s="450"/>
      <c r="CRP105" s="450"/>
      <c r="CRQ105" s="450"/>
      <c r="CRR105" s="450"/>
      <c r="CRS105" s="450"/>
      <c r="CRT105" s="450"/>
      <c r="CRU105" s="450"/>
      <c r="CRV105" s="450"/>
      <c r="CRW105" s="450"/>
      <c r="CRX105" s="450"/>
      <c r="CRY105" s="450"/>
      <c r="CRZ105" s="450"/>
      <c r="CSA105" s="450"/>
      <c r="CSB105" s="450"/>
      <c r="CSC105" s="450"/>
      <c r="CSD105" s="450"/>
      <c r="CSE105" s="450"/>
      <c r="CSF105" s="450"/>
      <c r="CSG105" s="450"/>
      <c r="CSH105" s="450"/>
      <c r="CSI105" s="450"/>
      <c r="CSJ105" s="450"/>
      <c r="CSK105" s="450"/>
      <c r="CSL105" s="450"/>
      <c r="CSM105" s="450"/>
      <c r="CSN105" s="450"/>
      <c r="CSO105" s="450"/>
      <c r="CSP105" s="450"/>
      <c r="CSQ105" s="450"/>
      <c r="CSR105" s="450"/>
      <c r="CSS105" s="450"/>
      <c r="CST105" s="450"/>
      <c r="CSU105" s="450"/>
      <c r="CSV105" s="450"/>
      <c r="CSW105" s="450"/>
      <c r="CSX105" s="450"/>
      <c r="CSY105" s="450"/>
      <c r="CSZ105" s="450"/>
      <c r="CTA105" s="450"/>
      <c r="CTB105" s="450"/>
      <c r="CTC105" s="450"/>
      <c r="CTD105" s="450"/>
      <c r="CTE105" s="450"/>
      <c r="CTF105" s="450"/>
      <c r="CTG105" s="450"/>
      <c r="CTH105" s="450"/>
      <c r="CTI105" s="450"/>
      <c r="CTJ105" s="450"/>
      <c r="CTK105" s="450"/>
      <c r="CTL105" s="450"/>
      <c r="CTM105" s="450"/>
      <c r="CTN105" s="450"/>
      <c r="CTO105" s="450"/>
      <c r="CTP105" s="450"/>
      <c r="CTQ105" s="450"/>
      <c r="CTR105" s="450"/>
      <c r="CTS105" s="450"/>
      <c r="CTT105" s="450"/>
      <c r="CTU105" s="450"/>
      <c r="CTV105" s="450"/>
      <c r="CTW105" s="450"/>
      <c r="CTX105" s="450"/>
      <c r="CTY105" s="450"/>
      <c r="CTZ105" s="450"/>
      <c r="CUA105" s="450"/>
      <c r="CUB105" s="450"/>
      <c r="CUC105" s="450"/>
      <c r="CUD105" s="450"/>
      <c r="CUE105" s="450"/>
      <c r="CUF105" s="450"/>
      <c r="CUG105" s="450"/>
      <c r="CUH105" s="450"/>
      <c r="CUI105" s="450"/>
      <c r="CUJ105" s="450"/>
      <c r="CUK105" s="450"/>
      <c r="CUL105" s="450"/>
      <c r="CUM105" s="450"/>
      <c r="CUN105" s="450"/>
      <c r="CUO105" s="450"/>
      <c r="CUP105" s="450"/>
      <c r="CUQ105" s="450"/>
      <c r="CUR105" s="450"/>
      <c r="CUS105" s="450"/>
      <c r="CUT105" s="450"/>
      <c r="CUU105" s="450"/>
      <c r="CUV105" s="450"/>
      <c r="CUW105" s="450"/>
      <c r="CUX105" s="450"/>
      <c r="CUY105" s="450"/>
      <c r="CUZ105" s="450"/>
      <c r="CVA105" s="450"/>
      <c r="CVB105" s="450"/>
      <c r="CVC105" s="450"/>
      <c r="CVD105" s="450"/>
      <c r="CVE105" s="450"/>
      <c r="CVF105" s="450"/>
      <c r="CVG105" s="450"/>
      <c r="CVH105" s="450"/>
      <c r="CVI105" s="450"/>
      <c r="CVJ105" s="450"/>
      <c r="CVK105" s="450"/>
      <c r="CVL105" s="450"/>
      <c r="CVM105" s="450"/>
      <c r="CVN105" s="450"/>
      <c r="CVO105" s="450"/>
      <c r="CVP105" s="450"/>
      <c r="CVQ105" s="450"/>
      <c r="CVR105" s="450"/>
      <c r="CVS105" s="450"/>
      <c r="CVT105" s="450"/>
      <c r="CVU105" s="450"/>
      <c r="CVV105" s="450"/>
      <c r="CVW105" s="450"/>
      <c r="CVX105" s="450"/>
      <c r="CVY105" s="450"/>
      <c r="CVZ105" s="450"/>
      <c r="CWA105" s="450"/>
      <c r="CWB105" s="450"/>
      <c r="CWC105" s="450"/>
      <c r="CWD105" s="450"/>
      <c r="CWE105" s="450"/>
      <c r="CWF105" s="450"/>
      <c r="CWG105" s="450"/>
      <c r="CWH105" s="450"/>
      <c r="CWI105" s="450"/>
      <c r="CWJ105" s="450"/>
      <c r="CWK105" s="450"/>
      <c r="CWL105" s="450"/>
      <c r="CWM105" s="450"/>
      <c r="CWN105" s="450"/>
      <c r="CWO105" s="450"/>
      <c r="CWP105" s="450"/>
      <c r="CWQ105" s="450"/>
      <c r="CWR105" s="450"/>
      <c r="CWS105" s="450"/>
      <c r="CWT105" s="450"/>
      <c r="CWU105" s="450"/>
      <c r="CWV105" s="450"/>
      <c r="CWW105" s="450"/>
      <c r="CWX105" s="450"/>
      <c r="CWY105" s="450"/>
      <c r="CWZ105" s="450"/>
      <c r="CXA105" s="450"/>
      <c r="CXB105" s="450"/>
      <c r="CXC105" s="450"/>
      <c r="CXD105" s="450"/>
      <c r="CXE105" s="450"/>
      <c r="CXF105" s="450"/>
      <c r="CXG105" s="450"/>
      <c r="CXH105" s="450"/>
      <c r="CXI105" s="450"/>
      <c r="CXJ105" s="450"/>
      <c r="CXK105" s="450"/>
      <c r="CXL105" s="450"/>
      <c r="CXM105" s="450"/>
      <c r="CXN105" s="450"/>
      <c r="CXO105" s="450"/>
      <c r="CXP105" s="450"/>
      <c r="CXQ105" s="450"/>
      <c r="CXR105" s="450"/>
      <c r="CXS105" s="450"/>
      <c r="CXT105" s="450"/>
      <c r="CXU105" s="450"/>
      <c r="CXV105" s="450"/>
      <c r="CXW105" s="450"/>
      <c r="CXX105" s="450"/>
      <c r="CXY105" s="450"/>
      <c r="CXZ105" s="450"/>
      <c r="CYA105" s="450"/>
      <c r="CYB105" s="450"/>
      <c r="CYC105" s="450"/>
      <c r="CYD105" s="450"/>
      <c r="CYE105" s="450"/>
      <c r="CYF105" s="450"/>
      <c r="CYG105" s="450"/>
      <c r="CYH105" s="450"/>
      <c r="CYI105" s="450"/>
      <c r="CYJ105" s="450"/>
      <c r="CYK105" s="450"/>
      <c r="CYL105" s="450"/>
      <c r="CYM105" s="450"/>
      <c r="CYN105" s="450"/>
      <c r="CYO105" s="450"/>
      <c r="CYP105" s="450"/>
      <c r="CYQ105" s="450"/>
      <c r="CYR105" s="450"/>
      <c r="CYS105" s="450"/>
      <c r="CYT105" s="450"/>
      <c r="CYU105" s="450"/>
      <c r="CYV105" s="450"/>
      <c r="CYW105" s="450"/>
      <c r="CYX105" s="450"/>
      <c r="CYY105" s="450"/>
      <c r="CYZ105" s="450"/>
      <c r="CZA105" s="450"/>
      <c r="CZB105" s="450"/>
      <c r="CZC105" s="450"/>
      <c r="CZD105" s="450"/>
      <c r="CZE105" s="450"/>
      <c r="CZF105" s="450"/>
      <c r="CZG105" s="450"/>
      <c r="CZH105" s="450"/>
      <c r="CZI105" s="450"/>
      <c r="CZJ105" s="450"/>
      <c r="CZK105" s="450"/>
      <c r="CZL105" s="450"/>
      <c r="CZM105" s="450"/>
      <c r="CZN105" s="450"/>
      <c r="CZO105" s="450"/>
      <c r="CZP105" s="450"/>
      <c r="CZQ105" s="450"/>
      <c r="CZR105" s="450"/>
      <c r="CZS105" s="450"/>
      <c r="CZT105" s="450"/>
      <c r="CZU105" s="450"/>
      <c r="CZV105" s="450"/>
      <c r="CZW105" s="450"/>
      <c r="CZX105" s="450"/>
      <c r="CZY105" s="450"/>
      <c r="CZZ105" s="450"/>
      <c r="DAA105" s="450"/>
      <c r="DAB105" s="450"/>
      <c r="DAC105" s="450"/>
      <c r="DAD105" s="450"/>
      <c r="DAE105" s="450"/>
      <c r="DAF105" s="450"/>
      <c r="DAG105" s="450"/>
      <c r="DAH105" s="450"/>
      <c r="DAI105" s="450"/>
      <c r="DAJ105" s="450"/>
      <c r="DAK105" s="450"/>
      <c r="DAL105" s="450"/>
      <c r="DAM105" s="450"/>
      <c r="DAN105" s="450"/>
      <c r="DAO105" s="450"/>
      <c r="DAP105" s="450"/>
      <c r="DAQ105" s="450"/>
      <c r="DAR105" s="450"/>
      <c r="DAS105" s="450"/>
      <c r="DAT105" s="450"/>
      <c r="DAU105" s="450"/>
      <c r="DAV105" s="450"/>
      <c r="DAW105" s="450"/>
      <c r="DAX105" s="450"/>
      <c r="DAY105" s="450"/>
      <c r="DAZ105" s="450"/>
      <c r="DBA105" s="450"/>
      <c r="DBB105" s="450"/>
      <c r="DBC105" s="450"/>
      <c r="DBD105" s="450"/>
      <c r="DBE105" s="450"/>
      <c r="DBF105" s="450"/>
      <c r="DBG105" s="450"/>
      <c r="DBH105" s="450"/>
      <c r="DBI105" s="450"/>
      <c r="DBJ105" s="450"/>
      <c r="DBK105" s="450"/>
      <c r="DBL105" s="450"/>
      <c r="DBM105" s="450"/>
      <c r="DBN105" s="450"/>
      <c r="DBO105" s="450"/>
      <c r="DBP105" s="450"/>
      <c r="DBQ105" s="450"/>
      <c r="DBR105" s="450"/>
      <c r="DBS105" s="450"/>
      <c r="DBT105" s="450"/>
      <c r="DBU105" s="450"/>
      <c r="DBV105" s="450"/>
      <c r="DBW105" s="450"/>
      <c r="DBX105" s="450"/>
      <c r="DBY105" s="450"/>
      <c r="DBZ105" s="450"/>
      <c r="DCA105" s="450"/>
      <c r="DCB105" s="450"/>
      <c r="DCC105" s="450"/>
      <c r="DCD105" s="450"/>
      <c r="DCE105" s="450"/>
      <c r="DCF105" s="450"/>
      <c r="DCG105" s="450"/>
      <c r="DCH105" s="450"/>
      <c r="DCI105" s="450"/>
      <c r="DCJ105" s="450"/>
      <c r="DCK105" s="450"/>
      <c r="DCL105" s="450"/>
      <c r="DCM105" s="450"/>
      <c r="DCN105" s="450"/>
      <c r="DCO105" s="450"/>
      <c r="DCP105" s="450"/>
      <c r="DCQ105" s="450"/>
      <c r="DCR105" s="450"/>
      <c r="DCS105" s="450"/>
      <c r="DCT105" s="450"/>
      <c r="DCU105" s="450"/>
      <c r="DCV105" s="450"/>
      <c r="DCW105" s="450"/>
      <c r="DCX105" s="450"/>
      <c r="DCY105" s="450"/>
      <c r="DCZ105" s="450"/>
      <c r="DDA105" s="450"/>
      <c r="DDB105" s="450"/>
      <c r="DDC105" s="450"/>
      <c r="DDD105" s="450"/>
      <c r="DDE105" s="450"/>
      <c r="DDF105" s="450"/>
      <c r="DDG105" s="450"/>
      <c r="DDH105" s="450"/>
      <c r="DDI105" s="450"/>
      <c r="DDJ105" s="450"/>
      <c r="DDK105" s="450"/>
      <c r="DDL105" s="450"/>
      <c r="DDM105" s="450"/>
      <c r="DDN105" s="450"/>
      <c r="DDO105" s="450"/>
      <c r="DDP105" s="450"/>
      <c r="DDQ105" s="450"/>
      <c r="DDR105" s="450"/>
      <c r="DDS105" s="450"/>
      <c r="DDT105" s="450"/>
      <c r="DDU105" s="450"/>
      <c r="DDV105" s="450"/>
      <c r="DDW105" s="450"/>
      <c r="DDX105" s="450"/>
      <c r="DDY105" s="450"/>
      <c r="DDZ105" s="450"/>
      <c r="DEA105" s="450"/>
      <c r="DEB105" s="450"/>
      <c r="DEC105" s="450"/>
      <c r="DED105" s="450"/>
      <c r="DEE105" s="450"/>
      <c r="DEF105" s="450"/>
      <c r="DEG105" s="450"/>
      <c r="DEH105" s="450"/>
      <c r="DEI105" s="450"/>
      <c r="DEJ105" s="450"/>
      <c r="DEK105" s="450"/>
      <c r="DEL105" s="450"/>
      <c r="DEM105" s="450"/>
      <c r="DEN105" s="450"/>
      <c r="DEO105" s="450"/>
      <c r="DEP105" s="450"/>
      <c r="DEQ105" s="450"/>
      <c r="DER105" s="450"/>
      <c r="DES105" s="450"/>
      <c r="DET105" s="450"/>
      <c r="DEU105" s="450"/>
      <c r="DEV105" s="450"/>
      <c r="DEW105" s="450"/>
      <c r="DEX105" s="450"/>
      <c r="DEY105" s="450"/>
      <c r="DEZ105" s="450"/>
      <c r="DFA105" s="450"/>
      <c r="DFB105" s="450"/>
      <c r="DFC105" s="450"/>
      <c r="DFD105" s="450"/>
      <c r="DFE105" s="450"/>
      <c r="DFF105" s="450"/>
      <c r="DFG105" s="450"/>
      <c r="DFH105" s="450"/>
      <c r="DFI105" s="450"/>
      <c r="DFJ105" s="450"/>
      <c r="DFK105" s="450"/>
      <c r="DFL105" s="450"/>
      <c r="DFM105" s="450"/>
      <c r="DFN105" s="450"/>
      <c r="DFO105" s="450"/>
      <c r="DFP105" s="450"/>
      <c r="DFQ105" s="450"/>
      <c r="DFR105" s="450"/>
      <c r="DFS105" s="450"/>
      <c r="DFT105" s="450"/>
      <c r="DFU105" s="450"/>
      <c r="DFV105" s="450"/>
      <c r="DFW105" s="450"/>
      <c r="DFX105" s="450"/>
      <c r="DFY105" s="450"/>
      <c r="DFZ105" s="450"/>
      <c r="DGA105" s="450"/>
      <c r="DGB105" s="450"/>
      <c r="DGC105" s="450"/>
      <c r="DGD105" s="450"/>
      <c r="DGE105" s="450"/>
      <c r="DGF105" s="450"/>
      <c r="DGG105" s="450"/>
      <c r="DGH105" s="450"/>
      <c r="DGI105" s="450"/>
      <c r="DGJ105" s="450"/>
      <c r="DGK105" s="450"/>
      <c r="DGL105" s="450"/>
      <c r="DGM105" s="450"/>
      <c r="DGN105" s="450"/>
      <c r="DGO105" s="450"/>
      <c r="DGP105" s="450"/>
      <c r="DGQ105" s="450"/>
      <c r="DGR105" s="450"/>
      <c r="DGS105" s="450"/>
      <c r="DGT105" s="450"/>
      <c r="DGU105" s="450"/>
      <c r="DGV105" s="450"/>
      <c r="DGW105" s="450"/>
      <c r="DGX105" s="450"/>
      <c r="DGY105" s="450"/>
      <c r="DGZ105" s="450"/>
      <c r="DHA105" s="450"/>
      <c r="DHB105" s="450"/>
      <c r="DHC105" s="450"/>
      <c r="DHD105" s="450"/>
      <c r="DHE105" s="450"/>
      <c r="DHF105" s="450"/>
      <c r="DHG105" s="450"/>
      <c r="DHH105" s="450"/>
      <c r="DHI105" s="450"/>
      <c r="DHJ105" s="450"/>
      <c r="DHK105" s="450"/>
      <c r="DHL105" s="450"/>
      <c r="DHM105" s="450"/>
      <c r="DHN105" s="450"/>
      <c r="DHO105" s="450"/>
      <c r="DHP105" s="450"/>
      <c r="DHQ105" s="450"/>
      <c r="DHR105" s="450"/>
      <c r="DHS105" s="450"/>
      <c r="DHT105" s="450"/>
      <c r="DHU105" s="450"/>
      <c r="DHV105" s="450"/>
      <c r="DHW105" s="450"/>
      <c r="DHX105" s="450"/>
      <c r="DHY105" s="450"/>
      <c r="DHZ105" s="450"/>
      <c r="DIA105" s="450"/>
      <c r="DIB105" s="450"/>
      <c r="DIC105" s="450"/>
      <c r="DID105" s="450"/>
      <c r="DIE105" s="450"/>
      <c r="DIF105" s="450"/>
      <c r="DIG105" s="450"/>
      <c r="DIH105" s="450"/>
      <c r="DII105" s="450"/>
      <c r="DIJ105" s="450"/>
      <c r="DIK105" s="450"/>
      <c r="DIL105" s="450"/>
      <c r="DIM105" s="450"/>
      <c r="DIN105" s="450"/>
      <c r="DIO105" s="450"/>
      <c r="DIP105" s="450"/>
      <c r="DIQ105" s="450"/>
      <c r="DIR105" s="450"/>
      <c r="DIS105" s="450"/>
      <c r="DIT105" s="450"/>
      <c r="DIU105" s="450"/>
      <c r="DIV105" s="450"/>
      <c r="DIW105" s="450"/>
      <c r="DIX105" s="450"/>
      <c r="DIY105" s="450"/>
      <c r="DIZ105" s="450"/>
      <c r="DJA105" s="450"/>
      <c r="DJB105" s="450"/>
      <c r="DJC105" s="450"/>
      <c r="DJD105" s="450"/>
      <c r="DJE105" s="450"/>
      <c r="DJF105" s="450"/>
      <c r="DJG105" s="450"/>
      <c r="DJH105" s="450"/>
      <c r="DJI105" s="450"/>
      <c r="DJJ105" s="450"/>
      <c r="DJK105" s="450"/>
      <c r="DJL105" s="450"/>
      <c r="DJM105" s="450"/>
      <c r="DJN105" s="450"/>
      <c r="DJO105" s="450"/>
      <c r="DJP105" s="450"/>
      <c r="DJQ105" s="450"/>
      <c r="DJR105" s="450"/>
      <c r="DJS105" s="450"/>
      <c r="DJT105" s="450"/>
      <c r="DJU105" s="450"/>
      <c r="DJV105" s="450"/>
      <c r="DJW105" s="450"/>
      <c r="DJX105" s="450"/>
      <c r="DJY105" s="450"/>
      <c r="DJZ105" s="450"/>
      <c r="DKA105" s="450"/>
      <c r="DKB105" s="450"/>
      <c r="DKC105" s="450"/>
      <c r="DKD105" s="450"/>
      <c r="DKE105" s="450"/>
      <c r="DKF105" s="450"/>
      <c r="DKG105" s="450"/>
      <c r="DKH105" s="450"/>
      <c r="DKI105" s="450"/>
      <c r="DKJ105" s="450"/>
      <c r="DKK105" s="450"/>
      <c r="DKL105" s="450"/>
      <c r="DKM105" s="450"/>
      <c r="DKN105" s="450"/>
      <c r="DKO105" s="450"/>
      <c r="DKP105" s="450"/>
      <c r="DKQ105" s="450"/>
      <c r="DKR105" s="450"/>
      <c r="DKS105" s="450"/>
      <c r="DKT105" s="450"/>
      <c r="DKU105" s="450"/>
      <c r="DKV105" s="450"/>
      <c r="DKW105" s="450"/>
      <c r="DKX105" s="450"/>
      <c r="DKY105" s="450"/>
      <c r="DKZ105" s="450"/>
      <c r="DLA105" s="450"/>
      <c r="DLB105" s="450"/>
      <c r="DLC105" s="450"/>
      <c r="DLD105" s="450"/>
      <c r="DLE105" s="450"/>
      <c r="DLF105" s="450"/>
      <c r="DLG105" s="450"/>
      <c r="DLH105" s="450"/>
      <c r="DLI105" s="450"/>
      <c r="DLJ105" s="450"/>
      <c r="DLK105" s="450"/>
      <c r="DLL105" s="450"/>
      <c r="DLM105" s="450"/>
      <c r="DLN105" s="450"/>
      <c r="DLO105" s="450"/>
      <c r="DLP105" s="450"/>
      <c r="DLQ105" s="450"/>
      <c r="DLR105" s="450"/>
      <c r="DLS105" s="450"/>
      <c r="DLT105" s="450"/>
      <c r="DLU105" s="450"/>
      <c r="DLV105" s="450"/>
      <c r="DLW105" s="450"/>
      <c r="DLX105" s="450"/>
      <c r="DLY105" s="450"/>
      <c r="DLZ105" s="450"/>
      <c r="DMA105" s="450"/>
      <c r="DMB105" s="450"/>
      <c r="DMC105" s="450"/>
      <c r="DMD105" s="450"/>
      <c r="DME105" s="450"/>
      <c r="DMF105" s="450"/>
      <c r="DMG105" s="450"/>
      <c r="DMH105" s="450"/>
      <c r="DMI105" s="450"/>
      <c r="DMJ105" s="450"/>
      <c r="DMK105" s="450"/>
      <c r="DML105" s="450"/>
      <c r="DMM105" s="450"/>
      <c r="DMN105" s="450"/>
      <c r="DMO105" s="450"/>
      <c r="DMP105" s="450"/>
      <c r="DMQ105" s="450"/>
      <c r="DMR105" s="450"/>
      <c r="DMS105" s="450"/>
      <c r="DMT105" s="450"/>
      <c r="DMU105" s="450"/>
      <c r="DMV105" s="450"/>
      <c r="DMW105" s="450"/>
      <c r="DMX105" s="450"/>
      <c r="DMY105" s="450"/>
      <c r="DMZ105" s="450"/>
      <c r="DNA105" s="450"/>
      <c r="DNB105" s="450"/>
      <c r="DNC105" s="450"/>
      <c r="DND105" s="450"/>
      <c r="DNE105" s="450"/>
      <c r="DNF105" s="450"/>
      <c r="DNG105" s="450"/>
      <c r="DNH105" s="450"/>
      <c r="DNI105" s="450"/>
      <c r="DNJ105" s="450"/>
      <c r="DNK105" s="450"/>
      <c r="DNL105" s="450"/>
      <c r="DNM105" s="450"/>
      <c r="DNN105" s="450"/>
      <c r="DNO105" s="450"/>
      <c r="DNP105" s="450"/>
      <c r="DNQ105" s="450"/>
      <c r="DNR105" s="450"/>
      <c r="DNS105" s="450"/>
      <c r="DNT105" s="450"/>
      <c r="DNU105" s="450"/>
      <c r="DNV105" s="450"/>
      <c r="DNW105" s="450"/>
      <c r="DNX105" s="450"/>
      <c r="DNY105" s="450"/>
      <c r="DNZ105" s="450"/>
      <c r="DOA105" s="450"/>
      <c r="DOB105" s="450"/>
      <c r="DOC105" s="450"/>
      <c r="DOD105" s="450"/>
      <c r="DOE105" s="450"/>
      <c r="DOF105" s="450"/>
      <c r="DOG105" s="450"/>
      <c r="DOH105" s="450"/>
      <c r="DOI105" s="450"/>
      <c r="DOJ105" s="450"/>
      <c r="DOK105" s="450"/>
      <c r="DOL105" s="450"/>
      <c r="DOM105" s="450"/>
      <c r="DON105" s="450"/>
      <c r="DOO105" s="450"/>
      <c r="DOP105" s="450"/>
      <c r="DOQ105" s="450"/>
      <c r="DOR105" s="450"/>
      <c r="DOS105" s="450"/>
      <c r="DOT105" s="450"/>
      <c r="DOU105" s="450"/>
      <c r="DOV105" s="450"/>
      <c r="DOW105" s="450"/>
      <c r="DOX105" s="450"/>
      <c r="DOY105" s="450"/>
      <c r="DOZ105" s="450"/>
      <c r="DPA105" s="450"/>
      <c r="DPB105" s="450"/>
      <c r="DPC105" s="450"/>
      <c r="DPD105" s="450"/>
      <c r="DPE105" s="450"/>
      <c r="DPF105" s="450"/>
      <c r="DPG105" s="450"/>
      <c r="DPH105" s="450"/>
      <c r="DPI105" s="450"/>
      <c r="DPJ105" s="450"/>
      <c r="DPK105" s="450"/>
      <c r="DPL105" s="450"/>
      <c r="DPM105" s="450"/>
      <c r="DPN105" s="450"/>
      <c r="DPO105" s="450"/>
      <c r="DPP105" s="450"/>
      <c r="DPQ105" s="450"/>
      <c r="DPR105" s="450"/>
      <c r="DPS105" s="450"/>
      <c r="DPT105" s="450"/>
      <c r="DPU105" s="450"/>
      <c r="DPV105" s="450"/>
      <c r="DPW105" s="450"/>
      <c r="DPX105" s="450"/>
      <c r="DPY105" s="450"/>
      <c r="DPZ105" s="450"/>
      <c r="DQA105" s="450"/>
      <c r="DQB105" s="450"/>
      <c r="DQC105" s="450"/>
      <c r="DQD105" s="450"/>
      <c r="DQE105" s="450"/>
      <c r="DQF105" s="450"/>
      <c r="DQG105" s="450"/>
      <c r="DQH105" s="450"/>
      <c r="DQI105" s="450"/>
      <c r="DQJ105" s="450"/>
      <c r="DQK105" s="450"/>
      <c r="DQL105" s="450"/>
      <c r="DQM105" s="450"/>
      <c r="DQN105" s="450"/>
      <c r="DQO105" s="450"/>
      <c r="DQP105" s="450"/>
      <c r="DQQ105" s="450"/>
      <c r="DQR105" s="450"/>
      <c r="DQS105" s="450"/>
      <c r="DQT105" s="450"/>
      <c r="DQU105" s="450"/>
      <c r="DQV105" s="450"/>
      <c r="DQW105" s="450"/>
      <c r="DQX105" s="450"/>
      <c r="DQY105" s="450"/>
      <c r="DQZ105" s="450"/>
      <c r="DRA105" s="450"/>
      <c r="DRB105" s="450"/>
      <c r="DRC105" s="450"/>
      <c r="DRD105" s="450"/>
      <c r="DRE105" s="450"/>
      <c r="DRF105" s="450"/>
      <c r="DRG105" s="450"/>
      <c r="DRH105" s="450"/>
      <c r="DRI105" s="450"/>
      <c r="DRJ105" s="450"/>
      <c r="DRK105" s="450"/>
      <c r="DRL105" s="450"/>
      <c r="DRM105" s="450"/>
      <c r="DRN105" s="450"/>
      <c r="DRO105" s="450"/>
      <c r="DRP105" s="450"/>
      <c r="DRQ105" s="450"/>
      <c r="DRR105" s="450"/>
      <c r="DRS105" s="450"/>
      <c r="DRT105" s="450"/>
      <c r="DRU105" s="450"/>
      <c r="DRV105" s="450"/>
      <c r="DRW105" s="450"/>
      <c r="DRX105" s="450"/>
      <c r="DRY105" s="450"/>
      <c r="DRZ105" s="450"/>
      <c r="DSA105" s="450"/>
      <c r="DSB105" s="450"/>
      <c r="DSC105" s="450"/>
      <c r="DSD105" s="450"/>
      <c r="DSE105" s="450"/>
      <c r="DSF105" s="450"/>
      <c r="DSG105" s="450"/>
      <c r="DSH105" s="450"/>
      <c r="DSI105" s="450"/>
      <c r="DSJ105" s="450"/>
      <c r="DSK105" s="450"/>
      <c r="DSL105" s="450"/>
      <c r="DSM105" s="450"/>
      <c r="DSN105" s="450"/>
      <c r="DSO105" s="450"/>
      <c r="DSP105" s="450"/>
      <c r="DSQ105" s="450"/>
      <c r="DSR105" s="450"/>
      <c r="DSS105" s="450"/>
      <c r="DST105" s="450"/>
      <c r="DSU105" s="450"/>
      <c r="DSV105" s="450"/>
      <c r="DSW105" s="450"/>
      <c r="DSX105" s="450"/>
      <c r="DSY105" s="450"/>
      <c r="DSZ105" s="450"/>
      <c r="DTA105" s="450"/>
      <c r="DTB105" s="450"/>
      <c r="DTC105" s="450"/>
      <c r="DTD105" s="450"/>
      <c r="DTE105" s="450"/>
      <c r="DTF105" s="450"/>
      <c r="DTG105" s="450"/>
      <c r="DTH105" s="450"/>
      <c r="DTI105" s="450"/>
      <c r="DTJ105" s="450"/>
      <c r="DTK105" s="450"/>
      <c r="DTL105" s="450"/>
      <c r="DTM105" s="450"/>
      <c r="DTN105" s="450"/>
      <c r="DTO105" s="450"/>
      <c r="DTP105" s="450"/>
      <c r="DTQ105" s="450"/>
      <c r="DTR105" s="450"/>
      <c r="DTS105" s="450"/>
      <c r="DTT105" s="450"/>
      <c r="DTU105" s="450"/>
      <c r="DTV105" s="450"/>
      <c r="DTW105" s="450"/>
      <c r="DTX105" s="450"/>
      <c r="DTY105" s="450"/>
      <c r="DTZ105" s="450"/>
      <c r="DUA105" s="450"/>
      <c r="DUB105" s="450"/>
      <c r="DUC105" s="450"/>
      <c r="DUD105" s="450"/>
      <c r="DUE105" s="450"/>
      <c r="DUF105" s="450"/>
      <c r="DUG105" s="450"/>
      <c r="DUH105" s="450"/>
      <c r="DUI105" s="450"/>
      <c r="DUJ105" s="450"/>
      <c r="DUK105" s="450"/>
      <c r="DUL105" s="450"/>
      <c r="DUM105" s="450"/>
      <c r="DUN105" s="450"/>
      <c r="DUO105" s="450"/>
      <c r="DUP105" s="450"/>
      <c r="DUQ105" s="450"/>
      <c r="DUR105" s="450"/>
      <c r="DUS105" s="450"/>
      <c r="DUT105" s="450"/>
      <c r="DUU105" s="450"/>
      <c r="DUV105" s="450"/>
      <c r="DUW105" s="450"/>
      <c r="DUX105" s="450"/>
      <c r="DUY105" s="450"/>
      <c r="DUZ105" s="450"/>
      <c r="DVA105" s="450"/>
      <c r="DVB105" s="450"/>
      <c r="DVC105" s="450"/>
      <c r="DVD105" s="450"/>
      <c r="DVE105" s="450"/>
      <c r="DVF105" s="450"/>
      <c r="DVG105" s="450"/>
      <c r="DVH105" s="450"/>
      <c r="DVI105" s="450"/>
      <c r="DVJ105" s="450"/>
      <c r="DVK105" s="450"/>
      <c r="DVL105" s="450"/>
      <c r="DVM105" s="450"/>
      <c r="DVN105" s="450"/>
      <c r="DVO105" s="450"/>
      <c r="DVP105" s="450"/>
      <c r="DVQ105" s="450"/>
      <c r="DVR105" s="450"/>
      <c r="DVS105" s="450"/>
      <c r="DVT105" s="450"/>
      <c r="DVU105" s="450"/>
      <c r="DVV105" s="450"/>
      <c r="DVW105" s="450"/>
      <c r="DVX105" s="450"/>
      <c r="DVY105" s="450"/>
      <c r="DVZ105" s="450"/>
      <c r="DWA105" s="450"/>
      <c r="DWB105" s="450"/>
      <c r="DWC105" s="450"/>
      <c r="DWD105" s="450"/>
      <c r="DWE105" s="450"/>
      <c r="DWF105" s="450"/>
      <c r="DWG105" s="450"/>
      <c r="DWH105" s="450"/>
      <c r="DWI105" s="450"/>
      <c r="DWJ105" s="450"/>
      <c r="DWK105" s="450"/>
      <c r="DWL105" s="450"/>
      <c r="DWM105" s="450"/>
      <c r="DWN105" s="450"/>
      <c r="DWO105" s="450"/>
      <c r="DWP105" s="450"/>
      <c r="DWQ105" s="450"/>
      <c r="DWR105" s="450"/>
      <c r="DWS105" s="450"/>
      <c r="DWT105" s="450"/>
      <c r="DWU105" s="450"/>
      <c r="DWV105" s="450"/>
      <c r="DWW105" s="450"/>
      <c r="DWX105" s="450"/>
      <c r="DWY105" s="450"/>
      <c r="DWZ105" s="450"/>
      <c r="DXA105" s="450"/>
      <c r="DXB105" s="450"/>
      <c r="DXC105" s="450"/>
      <c r="DXD105" s="450"/>
      <c r="DXE105" s="450"/>
      <c r="DXF105" s="450"/>
      <c r="DXG105" s="450"/>
      <c r="DXH105" s="450"/>
      <c r="DXI105" s="450"/>
      <c r="DXJ105" s="450"/>
      <c r="DXK105" s="450"/>
      <c r="DXL105" s="450"/>
      <c r="DXM105" s="450"/>
      <c r="DXN105" s="450"/>
      <c r="DXO105" s="450"/>
      <c r="DXP105" s="450"/>
      <c r="DXQ105" s="450"/>
      <c r="DXR105" s="450"/>
      <c r="DXS105" s="450"/>
      <c r="DXT105" s="450"/>
      <c r="DXU105" s="450"/>
      <c r="DXV105" s="450"/>
      <c r="DXW105" s="450"/>
      <c r="DXX105" s="450"/>
      <c r="DXY105" s="450"/>
      <c r="DXZ105" s="450"/>
      <c r="DYA105" s="450"/>
      <c r="DYB105" s="450"/>
      <c r="DYC105" s="450"/>
      <c r="DYD105" s="450"/>
      <c r="DYE105" s="450"/>
      <c r="DYF105" s="450"/>
      <c r="DYG105" s="450"/>
      <c r="DYH105" s="450"/>
      <c r="DYI105" s="450"/>
      <c r="DYJ105" s="450"/>
      <c r="DYK105" s="450"/>
      <c r="DYL105" s="450"/>
      <c r="DYM105" s="450"/>
      <c r="DYN105" s="450"/>
      <c r="DYO105" s="450"/>
      <c r="DYP105" s="450"/>
      <c r="DYQ105" s="450"/>
      <c r="DYR105" s="450"/>
      <c r="DYS105" s="450"/>
      <c r="DYT105" s="450"/>
      <c r="DYU105" s="450"/>
      <c r="DYV105" s="450"/>
      <c r="DYW105" s="450"/>
      <c r="DYX105" s="450"/>
      <c r="DYY105" s="450"/>
      <c r="DYZ105" s="450"/>
      <c r="DZA105" s="450"/>
      <c r="DZB105" s="450"/>
      <c r="DZC105" s="450"/>
      <c r="DZD105" s="450"/>
      <c r="DZE105" s="450"/>
      <c r="DZF105" s="450"/>
      <c r="DZG105" s="450"/>
      <c r="DZH105" s="450"/>
      <c r="DZI105" s="450"/>
      <c r="DZJ105" s="450"/>
      <c r="DZK105" s="450"/>
      <c r="DZL105" s="450"/>
      <c r="DZM105" s="450"/>
      <c r="DZN105" s="450"/>
      <c r="DZO105" s="450"/>
      <c r="DZP105" s="450"/>
      <c r="DZQ105" s="450"/>
      <c r="DZR105" s="450"/>
      <c r="DZS105" s="450"/>
      <c r="DZT105" s="450"/>
      <c r="DZU105" s="450"/>
      <c r="DZV105" s="450"/>
      <c r="DZW105" s="450"/>
      <c r="DZX105" s="450"/>
      <c r="DZY105" s="450"/>
      <c r="DZZ105" s="450"/>
      <c r="EAA105" s="450"/>
      <c r="EAB105" s="450"/>
      <c r="EAC105" s="450"/>
      <c r="EAD105" s="450"/>
      <c r="EAE105" s="450"/>
      <c r="EAF105" s="450"/>
      <c r="EAG105" s="450"/>
      <c r="EAH105" s="450"/>
      <c r="EAI105" s="450"/>
      <c r="EAJ105" s="450"/>
      <c r="EAK105" s="450"/>
      <c r="EAL105" s="450"/>
      <c r="EAM105" s="450"/>
      <c r="EAN105" s="450"/>
      <c r="EAO105" s="450"/>
      <c r="EAP105" s="450"/>
      <c r="EAQ105" s="450"/>
      <c r="EAR105" s="450"/>
      <c r="EAS105" s="450"/>
      <c r="EAT105" s="450"/>
      <c r="EAU105" s="450"/>
      <c r="EAV105" s="450"/>
      <c r="EAW105" s="450"/>
      <c r="EAX105" s="450"/>
      <c r="EAY105" s="450"/>
      <c r="EAZ105" s="450"/>
      <c r="EBA105" s="450"/>
      <c r="EBB105" s="450"/>
      <c r="EBC105" s="450"/>
      <c r="EBD105" s="450"/>
      <c r="EBE105" s="450"/>
      <c r="EBF105" s="450"/>
      <c r="EBG105" s="450"/>
      <c r="EBH105" s="450"/>
      <c r="EBI105" s="450"/>
      <c r="EBJ105" s="450"/>
      <c r="EBK105" s="450"/>
      <c r="EBL105" s="450"/>
      <c r="EBM105" s="450"/>
      <c r="EBN105" s="450"/>
      <c r="EBO105" s="450"/>
      <c r="EBP105" s="450"/>
      <c r="EBQ105" s="450"/>
      <c r="EBR105" s="450"/>
      <c r="EBS105" s="450"/>
      <c r="EBT105" s="450"/>
      <c r="EBU105" s="450"/>
      <c r="EBV105" s="450"/>
      <c r="EBW105" s="450"/>
      <c r="EBX105" s="450"/>
      <c r="EBY105" s="450"/>
      <c r="EBZ105" s="450"/>
      <c r="ECA105" s="450"/>
      <c r="ECB105" s="450"/>
      <c r="ECC105" s="450"/>
      <c r="ECD105" s="450"/>
      <c r="ECE105" s="450"/>
      <c r="ECF105" s="450"/>
      <c r="ECG105" s="450"/>
      <c r="ECH105" s="450"/>
      <c r="ECI105" s="450"/>
      <c r="ECJ105" s="450"/>
      <c r="ECK105" s="450"/>
      <c r="ECL105" s="450"/>
      <c r="ECM105" s="450"/>
      <c r="ECN105" s="450"/>
      <c r="ECO105" s="450"/>
      <c r="ECP105" s="450"/>
      <c r="ECQ105" s="450"/>
      <c r="ECR105" s="450"/>
      <c r="ECS105" s="450"/>
      <c r="ECT105" s="450"/>
      <c r="ECU105" s="450"/>
      <c r="ECV105" s="450"/>
      <c r="ECW105" s="450"/>
      <c r="ECX105" s="450"/>
      <c r="ECY105" s="450"/>
      <c r="ECZ105" s="450"/>
      <c r="EDA105" s="450"/>
      <c r="EDB105" s="450"/>
      <c r="EDC105" s="450"/>
      <c r="EDD105" s="450"/>
      <c r="EDE105" s="450"/>
      <c r="EDF105" s="450"/>
      <c r="EDG105" s="450"/>
      <c r="EDH105" s="450"/>
      <c r="EDI105" s="450"/>
      <c r="EDJ105" s="450"/>
      <c r="EDK105" s="450"/>
      <c r="EDL105" s="450"/>
      <c r="EDM105" s="450"/>
      <c r="EDN105" s="450"/>
      <c r="EDO105" s="450"/>
      <c r="EDP105" s="450"/>
      <c r="EDQ105" s="450"/>
      <c r="EDR105" s="450"/>
      <c r="EDS105" s="450"/>
      <c r="EDT105" s="450"/>
      <c r="EDU105" s="450"/>
      <c r="EDV105" s="450"/>
      <c r="EDW105" s="450"/>
      <c r="EDX105" s="450"/>
      <c r="EDY105" s="450"/>
      <c r="EDZ105" s="450"/>
      <c r="EEA105" s="450"/>
      <c r="EEB105" s="450"/>
      <c r="EEC105" s="450"/>
      <c r="EED105" s="450"/>
      <c r="EEE105" s="450"/>
      <c r="EEF105" s="450"/>
      <c r="EEG105" s="450"/>
      <c r="EEH105" s="450"/>
      <c r="EEI105" s="450"/>
      <c r="EEJ105" s="450"/>
      <c r="EEK105" s="450"/>
      <c r="EEL105" s="450"/>
      <c r="EEM105" s="450"/>
      <c r="EEN105" s="450"/>
      <c r="EEO105" s="450"/>
      <c r="EEP105" s="450"/>
      <c r="EEQ105" s="450"/>
      <c r="EER105" s="450"/>
      <c r="EES105" s="450"/>
      <c r="EET105" s="450"/>
      <c r="EEU105" s="450"/>
      <c r="EEV105" s="450"/>
      <c r="EEW105" s="450"/>
      <c r="EEX105" s="450"/>
      <c r="EEY105" s="450"/>
      <c r="EEZ105" s="450"/>
      <c r="EFA105" s="450"/>
      <c r="EFB105" s="450"/>
      <c r="EFC105" s="450"/>
      <c r="EFD105" s="450"/>
      <c r="EFE105" s="450"/>
      <c r="EFF105" s="450"/>
      <c r="EFG105" s="450"/>
      <c r="EFH105" s="450"/>
      <c r="EFI105" s="450"/>
      <c r="EFJ105" s="450"/>
      <c r="EFK105" s="450"/>
      <c r="EFL105" s="450"/>
      <c r="EFM105" s="450"/>
      <c r="EFN105" s="450"/>
      <c r="EFO105" s="450"/>
      <c r="EFP105" s="450"/>
      <c r="EFQ105" s="450"/>
      <c r="EFR105" s="450"/>
      <c r="EFS105" s="450"/>
      <c r="EFT105" s="450"/>
      <c r="EFU105" s="450"/>
      <c r="EFV105" s="450"/>
      <c r="EFW105" s="450"/>
      <c r="EFX105" s="450"/>
      <c r="EFY105" s="450"/>
      <c r="EFZ105" s="450"/>
      <c r="EGA105" s="450"/>
      <c r="EGB105" s="450"/>
      <c r="EGC105" s="450"/>
      <c r="EGD105" s="450"/>
      <c r="EGE105" s="450"/>
      <c r="EGF105" s="450"/>
      <c r="EGG105" s="450"/>
      <c r="EGH105" s="450"/>
      <c r="EGI105" s="450"/>
      <c r="EGJ105" s="450"/>
      <c r="EGK105" s="450"/>
      <c r="EGL105" s="450"/>
      <c r="EGM105" s="450"/>
      <c r="EGN105" s="450"/>
      <c r="EGO105" s="450"/>
      <c r="EGP105" s="450"/>
      <c r="EGQ105" s="450"/>
      <c r="EGR105" s="450"/>
      <c r="EGS105" s="450"/>
      <c r="EGT105" s="450"/>
      <c r="EGU105" s="450"/>
      <c r="EGV105" s="450"/>
      <c r="EGW105" s="450"/>
      <c r="EGX105" s="450"/>
      <c r="EGY105" s="450"/>
      <c r="EGZ105" s="450"/>
      <c r="EHA105" s="450"/>
      <c r="EHB105" s="450"/>
      <c r="EHC105" s="450"/>
      <c r="EHD105" s="450"/>
      <c r="EHE105" s="450"/>
      <c r="EHF105" s="450"/>
      <c r="EHG105" s="450"/>
      <c r="EHH105" s="450"/>
      <c r="EHI105" s="450"/>
      <c r="EHJ105" s="450"/>
      <c r="EHK105" s="450"/>
      <c r="EHL105" s="450"/>
      <c r="EHM105" s="450"/>
      <c r="EHN105" s="450"/>
      <c r="EHO105" s="450"/>
      <c r="EHP105" s="450"/>
      <c r="EHQ105" s="450"/>
      <c r="EHR105" s="450"/>
      <c r="EHS105" s="450"/>
      <c r="EHT105" s="450"/>
      <c r="EHU105" s="450"/>
      <c r="EHV105" s="450"/>
      <c r="EHW105" s="450"/>
      <c r="EHX105" s="450"/>
      <c r="EHY105" s="450"/>
      <c r="EHZ105" s="450"/>
      <c r="EIA105" s="450"/>
      <c r="EIB105" s="450"/>
      <c r="EIC105" s="450"/>
      <c r="EID105" s="450"/>
      <c r="EIE105" s="450"/>
      <c r="EIF105" s="450"/>
      <c r="EIG105" s="450"/>
      <c r="EIH105" s="450"/>
      <c r="EII105" s="450"/>
      <c r="EIJ105" s="450"/>
      <c r="EIK105" s="450"/>
      <c r="EIL105" s="450"/>
      <c r="EIM105" s="450"/>
      <c r="EIN105" s="450"/>
      <c r="EIO105" s="450"/>
      <c r="EIP105" s="450"/>
      <c r="EIQ105" s="450"/>
      <c r="EIR105" s="450"/>
      <c r="EIS105" s="450"/>
      <c r="EIT105" s="450"/>
      <c r="EIU105" s="450"/>
      <c r="EIV105" s="450"/>
      <c r="EIW105" s="450"/>
      <c r="EIX105" s="450"/>
      <c r="EIY105" s="450"/>
      <c r="EIZ105" s="450"/>
      <c r="EJA105" s="450"/>
      <c r="EJB105" s="450"/>
      <c r="EJC105" s="450"/>
      <c r="EJD105" s="450"/>
      <c r="EJE105" s="450"/>
      <c r="EJF105" s="450"/>
      <c r="EJG105" s="450"/>
      <c r="EJH105" s="450"/>
      <c r="EJI105" s="450"/>
      <c r="EJJ105" s="450"/>
      <c r="EJK105" s="450"/>
      <c r="EJL105" s="450"/>
      <c r="EJM105" s="450"/>
      <c r="EJN105" s="450"/>
      <c r="EJO105" s="450"/>
      <c r="EJP105" s="450"/>
      <c r="EJQ105" s="450"/>
      <c r="EJR105" s="450"/>
      <c r="EJS105" s="450"/>
      <c r="EJT105" s="450"/>
      <c r="EJU105" s="450"/>
      <c r="EJV105" s="450"/>
      <c r="EJW105" s="450"/>
      <c r="EJX105" s="450"/>
      <c r="EJY105" s="450"/>
      <c r="EJZ105" s="450"/>
      <c r="EKA105" s="450"/>
      <c r="EKB105" s="450"/>
      <c r="EKC105" s="450"/>
      <c r="EKD105" s="450"/>
      <c r="EKE105" s="450"/>
      <c r="EKF105" s="450"/>
      <c r="EKG105" s="450"/>
      <c r="EKH105" s="450"/>
      <c r="EKI105" s="450"/>
      <c r="EKJ105" s="450"/>
      <c r="EKK105" s="450"/>
      <c r="EKL105" s="450"/>
      <c r="EKM105" s="450"/>
      <c r="EKN105" s="450"/>
      <c r="EKO105" s="450"/>
      <c r="EKP105" s="450"/>
      <c r="EKQ105" s="450"/>
      <c r="EKR105" s="450"/>
      <c r="EKS105" s="450"/>
      <c r="EKT105" s="450"/>
      <c r="EKU105" s="450"/>
      <c r="EKV105" s="450"/>
      <c r="EKW105" s="450"/>
      <c r="EKX105" s="450"/>
      <c r="EKY105" s="450"/>
      <c r="EKZ105" s="450"/>
      <c r="ELA105" s="450"/>
      <c r="ELB105" s="450"/>
      <c r="ELC105" s="450"/>
      <c r="ELD105" s="450"/>
      <c r="ELE105" s="450"/>
      <c r="ELF105" s="450"/>
      <c r="ELG105" s="450"/>
      <c r="ELH105" s="450"/>
      <c r="ELI105" s="450"/>
      <c r="ELJ105" s="450"/>
      <c r="ELK105" s="450"/>
      <c r="ELL105" s="450"/>
      <c r="ELM105" s="450"/>
      <c r="ELN105" s="450"/>
      <c r="ELO105" s="450"/>
      <c r="ELP105" s="450"/>
      <c r="ELQ105" s="450"/>
      <c r="ELR105" s="450"/>
      <c r="ELS105" s="450"/>
      <c r="ELT105" s="450"/>
      <c r="ELU105" s="450"/>
      <c r="ELV105" s="450"/>
      <c r="ELW105" s="450"/>
      <c r="ELX105" s="450"/>
      <c r="ELY105" s="450"/>
      <c r="ELZ105" s="450"/>
      <c r="EMA105" s="450"/>
      <c r="EMB105" s="450"/>
      <c r="EMC105" s="450"/>
      <c r="EMD105" s="450"/>
      <c r="EME105" s="450"/>
      <c r="EMF105" s="450"/>
      <c r="EMG105" s="450"/>
      <c r="EMH105" s="450"/>
      <c r="EMI105" s="450"/>
      <c r="EMJ105" s="450"/>
      <c r="EMK105" s="450"/>
      <c r="EML105" s="450"/>
      <c r="EMM105" s="450"/>
      <c r="EMN105" s="450"/>
      <c r="EMO105" s="450"/>
      <c r="EMP105" s="450"/>
      <c r="EMQ105" s="450"/>
      <c r="EMR105" s="450"/>
      <c r="EMS105" s="450"/>
      <c r="EMT105" s="450"/>
      <c r="EMU105" s="450"/>
      <c r="EMV105" s="450"/>
      <c r="EMW105" s="450"/>
      <c r="EMX105" s="450"/>
      <c r="EMY105" s="450"/>
      <c r="EMZ105" s="450"/>
      <c r="ENA105" s="450"/>
      <c r="ENB105" s="450"/>
      <c r="ENC105" s="450"/>
      <c r="END105" s="450"/>
      <c r="ENE105" s="450"/>
      <c r="ENF105" s="450"/>
      <c r="ENG105" s="450"/>
      <c r="ENH105" s="450"/>
      <c r="ENI105" s="450"/>
      <c r="ENJ105" s="450"/>
      <c r="ENK105" s="450"/>
      <c r="ENL105" s="450"/>
      <c r="ENM105" s="450"/>
      <c r="ENN105" s="450"/>
      <c r="ENO105" s="450"/>
      <c r="ENP105" s="450"/>
      <c r="ENQ105" s="450"/>
      <c r="ENR105" s="450"/>
      <c r="ENS105" s="450"/>
      <c r="ENT105" s="450"/>
      <c r="ENU105" s="450"/>
      <c r="ENV105" s="450"/>
      <c r="ENW105" s="450"/>
      <c r="ENX105" s="450"/>
      <c r="ENY105" s="450"/>
      <c r="ENZ105" s="450"/>
      <c r="EOA105" s="450"/>
      <c r="EOB105" s="450"/>
      <c r="EOC105" s="450"/>
      <c r="EOD105" s="450"/>
      <c r="EOE105" s="450"/>
      <c r="EOF105" s="450"/>
      <c r="EOG105" s="450"/>
      <c r="EOH105" s="450"/>
      <c r="EOI105" s="450"/>
      <c r="EOJ105" s="450"/>
      <c r="EOK105" s="450"/>
      <c r="EOL105" s="450"/>
      <c r="EOM105" s="450"/>
      <c r="EON105" s="450"/>
      <c r="EOO105" s="450"/>
      <c r="EOP105" s="450"/>
      <c r="EOQ105" s="450"/>
      <c r="EOR105" s="450"/>
      <c r="EOS105" s="450"/>
      <c r="EOT105" s="450"/>
      <c r="EOU105" s="450"/>
      <c r="EOV105" s="450"/>
      <c r="EOW105" s="450"/>
      <c r="EOX105" s="450"/>
      <c r="EOY105" s="450"/>
      <c r="EOZ105" s="450"/>
      <c r="EPA105" s="450"/>
      <c r="EPB105" s="450"/>
      <c r="EPC105" s="450"/>
      <c r="EPD105" s="450"/>
      <c r="EPE105" s="450"/>
      <c r="EPF105" s="450"/>
      <c r="EPG105" s="450"/>
      <c r="EPH105" s="450"/>
      <c r="EPI105" s="450"/>
      <c r="EPJ105" s="450"/>
      <c r="EPK105" s="450"/>
      <c r="EPL105" s="450"/>
      <c r="EPM105" s="450"/>
      <c r="EPN105" s="450"/>
      <c r="EPO105" s="450"/>
      <c r="EPP105" s="450"/>
      <c r="EPQ105" s="450"/>
      <c r="EPR105" s="450"/>
      <c r="EPS105" s="450"/>
      <c r="EPT105" s="450"/>
      <c r="EPU105" s="450"/>
      <c r="EPV105" s="450"/>
      <c r="EPW105" s="450"/>
      <c r="EPX105" s="450"/>
      <c r="EPY105" s="450"/>
      <c r="EPZ105" s="450"/>
      <c r="EQA105" s="450"/>
      <c r="EQB105" s="450"/>
      <c r="EQC105" s="450"/>
      <c r="EQD105" s="450"/>
      <c r="EQE105" s="450"/>
      <c r="EQF105" s="450"/>
      <c r="EQG105" s="450"/>
      <c r="EQH105" s="450"/>
      <c r="EQI105" s="450"/>
      <c r="EQJ105" s="450"/>
      <c r="EQK105" s="450"/>
      <c r="EQL105" s="450"/>
      <c r="EQM105" s="450"/>
      <c r="EQN105" s="450"/>
      <c r="EQO105" s="450"/>
      <c r="EQP105" s="450"/>
      <c r="EQQ105" s="450"/>
      <c r="EQR105" s="450"/>
      <c r="EQS105" s="450"/>
      <c r="EQT105" s="450"/>
      <c r="EQU105" s="450"/>
      <c r="EQV105" s="450"/>
      <c r="EQW105" s="450"/>
      <c r="EQX105" s="450"/>
      <c r="EQY105" s="450"/>
      <c r="EQZ105" s="450"/>
      <c r="ERA105" s="450"/>
      <c r="ERB105" s="450"/>
      <c r="ERC105" s="450"/>
      <c r="ERD105" s="450"/>
      <c r="ERE105" s="450"/>
      <c r="ERF105" s="450"/>
      <c r="ERG105" s="450"/>
      <c r="ERH105" s="450"/>
      <c r="ERI105" s="450"/>
      <c r="ERJ105" s="450"/>
      <c r="ERK105" s="450"/>
      <c r="ERL105" s="450"/>
      <c r="ERM105" s="450"/>
      <c r="ERN105" s="450"/>
      <c r="ERO105" s="450"/>
      <c r="ERP105" s="450"/>
      <c r="ERQ105" s="450"/>
      <c r="ERR105" s="450"/>
      <c r="ERS105" s="450"/>
      <c r="ERT105" s="450"/>
      <c r="ERU105" s="450"/>
      <c r="ERV105" s="450"/>
      <c r="ERW105" s="450"/>
      <c r="ERX105" s="450"/>
      <c r="ERY105" s="450"/>
      <c r="ERZ105" s="450"/>
      <c r="ESA105" s="450"/>
      <c r="ESB105" s="450"/>
      <c r="ESC105" s="450"/>
      <c r="ESD105" s="450"/>
      <c r="ESE105" s="450"/>
      <c r="ESF105" s="450"/>
      <c r="ESG105" s="450"/>
      <c r="ESH105" s="450"/>
      <c r="ESI105" s="450"/>
      <c r="ESJ105" s="450"/>
      <c r="ESK105" s="450"/>
      <c r="ESL105" s="450"/>
      <c r="ESM105" s="450"/>
      <c r="ESN105" s="450"/>
      <c r="ESO105" s="450"/>
      <c r="ESP105" s="450"/>
      <c r="ESQ105" s="450"/>
      <c r="ESR105" s="450"/>
      <c r="ESS105" s="450"/>
      <c r="EST105" s="450"/>
      <c r="ESU105" s="450"/>
      <c r="ESV105" s="450"/>
      <c r="ESW105" s="450"/>
      <c r="ESX105" s="450"/>
      <c r="ESY105" s="450"/>
      <c r="ESZ105" s="450"/>
      <c r="ETA105" s="450"/>
      <c r="ETB105" s="450"/>
      <c r="ETC105" s="450"/>
      <c r="ETD105" s="450"/>
      <c r="ETE105" s="450"/>
      <c r="ETF105" s="450"/>
      <c r="ETG105" s="450"/>
      <c r="ETH105" s="450"/>
      <c r="ETI105" s="450"/>
      <c r="ETJ105" s="450"/>
      <c r="ETK105" s="450"/>
      <c r="ETL105" s="450"/>
      <c r="ETM105" s="450"/>
      <c r="ETN105" s="450"/>
      <c r="ETO105" s="450"/>
      <c r="ETP105" s="450"/>
      <c r="ETQ105" s="450"/>
      <c r="ETR105" s="450"/>
      <c r="ETS105" s="450"/>
      <c r="ETT105" s="450"/>
      <c r="ETU105" s="450"/>
      <c r="ETV105" s="450"/>
      <c r="ETW105" s="450"/>
      <c r="ETX105" s="450"/>
      <c r="ETY105" s="450"/>
      <c r="ETZ105" s="450"/>
      <c r="EUA105" s="450"/>
      <c r="EUB105" s="450"/>
      <c r="EUC105" s="450"/>
      <c r="EUD105" s="450"/>
      <c r="EUE105" s="450"/>
      <c r="EUF105" s="450"/>
      <c r="EUG105" s="450"/>
      <c r="EUH105" s="450"/>
      <c r="EUI105" s="450"/>
      <c r="EUJ105" s="450"/>
      <c r="EUK105" s="450"/>
      <c r="EUL105" s="450"/>
      <c r="EUM105" s="450"/>
      <c r="EUN105" s="450"/>
      <c r="EUO105" s="450"/>
      <c r="EUP105" s="450"/>
      <c r="EUQ105" s="450"/>
      <c r="EUR105" s="450"/>
      <c r="EUS105" s="450"/>
      <c r="EUT105" s="450"/>
      <c r="EUU105" s="450"/>
      <c r="EUV105" s="450"/>
      <c r="EUW105" s="450"/>
      <c r="EUX105" s="450"/>
      <c r="EUY105" s="450"/>
      <c r="EUZ105" s="450"/>
      <c r="EVA105" s="450"/>
      <c r="EVB105" s="450"/>
      <c r="EVC105" s="450"/>
      <c r="EVD105" s="450"/>
      <c r="EVE105" s="450"/>
      <c r="EVF105" s="450"/>
      <c r="EVG105" s="450"/>
      <c r="EVH105" s="450"/>
      <c r="EVI105" s="450"/>
      <c r="EVJ105" s="450"/>
      <c r="EVK105" s="450"/>
      <c r="EVL105" s="450"/>
      <c r="EVM105" s="450"/>
      <c r="EVN105" s="450"/>
      <c r="EVO105" s="450"/>
      <c r="EVP105" s="450"/>
      <c r="EVQ105" s="450"/>
      <c r="EVR105" s="450"/>
      <c r="EVS105" s="450"/>
      <c r="EVT105" s="450"/>
      <c r="EVU105" s="450"/>
      <c r="EVV105" s="450"/>
      <c r="EVW105" s="450"/>
      <c r="EVX105" s="450"/>
      <c r="EVY105" s="450"/>
      <c r="EVZ105" s="450"/>
      <c r="EWA105" s="450"/>
      <c r="EWB105" s="450"/>
      <c r="EWC105" s="450"/>
      <c r="EWD105" s="450"/>
      <c r="EWE105" s="450"/>
      <c r="EWF105" s="450"/>
      <c r="EWG105" s="450"/>
      <c r="EWH105" s="450"/>
      <c r="EWI105" s="450"/>
      <c r="EWJ105" s="450"/>
      <c r="EWK105" s="450"/>
      <c r="EWL105" s="450"/>
      <c r="EWM105" s="450"/>
      <c r="EWN105" s="450"/>
      <c r="EWO105" s="450"/>
      <c r="EWP105" s="450"/>
      <c r="EWQ105" s="450"/>
      <c r="EWR105" s="450"/>
      <c r="EWS105" s="450"/>
      <c r="EWT105" s="450"/>
      <c r="EWU105" s="450"/>
      <c r="EWV105" s="450"/>
      <c r="EWW105" s="450"/>
      <c r="EWX105" s="450"/>
      <c r="EWY105" s="450"/>
      <c r="EWZ105" s="450"/>
      <c r="EXA105" s="450"/>
      <c r="EXB105" s="450"/>
      <c r="EXC105" s="450"/>
      <c r="EXD105" s="450"/>
      <c r="EXE105" s="450"/>
      <c r="EXF105" s="450"/>
      <c r="EXG105" s="450"/>
      <c r="EXH105" s="450"/>
      <c r="EXI105" s="450"/>
      <c r="EXJ105" s="450"/>
      <c r="EXK105" s="450"/>
      <c r="EXL105" s="450"/>
      <c r="EXM105" s="450"/>
      <c r="EXN105" s="450"/>
      <c r="EXO105" s="450"/>
      <c r="EXP105" s="450"/>
      <c r="EXQ105" s="450"/>
      <c r="EXR105" s="450"/>
      <c r="EXS105" s="450"/>
      <c r="EXT105" s="450"/>
      <c r="EXU105" s="450"/>
      <c r="EXV105" s="450"/>
      <c r="EXW105" s="450"/>
      <c r="EXX105" s="450"/>
      <c r="EXY105" s="450"/>
      <c r="EXZ105" s="450"/>
      <c r="EYA105" s="450"/>
      <c r="EYB105" s="450"/>
      <c r="EYC105" s="450"/>
      <c r="EYD105" s="450"/>
      <c r="EYE105" s="450"/>
      <c r="EYF105" s="450"/>
      <c r="EYG105" s="450"/>
      <c r="EYH105" s="450"/>
      <c r="EYI105" s="450"/>
      <c r="EYJ105" s="450"/>
      <c r="EYK105" s="450"/>
      <c r="EYL105" s="450"/>
      <c r="EYM105" s="450"/>
      <c r="EYN105" s="450"/>
      <c r="EYO105" s="450"/>
      <c r="EYP105" s="450"/>
      <c r="EYQ105" s="450"/>
      <c r="EYR105" s="450"/>
      <c r="EYS105" s="450"/>
      <c r="EYT105" s="450"/>
      <c r="EYU105" s="450"/>
      <c r="EYV105" s="450"/>
      <c r="EYW105" s="450"/>
      <c r="EYX105" s="450"/>
      <c r="EYY105" s="450"/>
      <c r="EYZ105" s="450"/>
      <c r="EZA105" s="450"/>
      <c r="EZB105" s="450"/>
      <c r="EZC105" s="450"/>
      <c r="EZD105" s="450"/>
      <c r="EZE105" s="450"/>
      <c r="EZF105" s="450"/>
      <c r="EZG105" s="450"/>
      <c r="EZH105" s="450"/>
      <c r="EZI105" s="450"/>
      <c r="EZJ105" s="450"/>
      <c r="EZK105" s="450"/>
      <c r="EZL105" s="450"/>
      <c r="EZM105" s="450"/>
      <c r="EZN105" s="450"/>
      <c r="EZO105" s="450"/>
      <c r="EZP105" s="450"/>
      <c r="EZQ105" s="450"/>
      <c r="EZR105" s="450"/>
      <c r="EZS105" s="450"/>
      <c r="EZT105" s="450"/>
      <c r="EZU105" s="450"/>
      <c r="EZV105" s="450"/>
      <c r="EZW105" s="450"/>
      <c r="EZX105" s="450"/>
      <c r="EZY105" s="450"/>
      <c r="EZZ105" s="450"/>
      <c r="FAA105" s="450"/>
      <c r="FAB105" s="450"/>
      <c r="FAC105" s="450"/>
      <c r="FAD105" s="450"/>
      <c r="FAE105" s="450"/>
      <c r="FAF105" s="450"/>
      <c r="FAG105" s="450"/>
      <c r="FAH105" s="450"/>
      <c r="FAI105" s="450"/>
      <c r="FAJ105" s="450"/>
      <c r="FAK105" s="450"/>
      <c r="FAL105" s="450"/>
      <c r="FAM105" s="450"/>
      <c r="FAN105" s="450"/>
      <c r="FAO105" s="450"/>
      <c r="FAP105" s="450"/>
      <c r="FAQ105" s="450"/>
      <c r="FAR105" s="450"/>
      <c r="FAS105" s="450"/>
      <c r="FAT105" s="450"/>
      <c r="FAU105" s="450"/>
      <c r="FAV105" s="450"/>
      <c r="FAW105" s="450"/>
      <c r="FAX105" s="450"/>
      <c r="FAY105" s="450"/>
      <c r="FAZ105" s="450"/>
      <c r="FBA105" s="450"/>
      <c r="FBB105" s="450"/>
      <c r="FBC105" s="450"/>
      <c r="FBD105" s="450"/>
      <c r="FBE105" s="450"/>
      <c r="FBF105" s="450"/>
      <c r="FBG105" s="450"/>
      <c r="FBH105" s="450"/>
      <c r="FBI105" s="450"/>
      <c r="FBJ105" s="450"/>
      <c r="FBK105" s="450"/>
      <c r="FBL105" s="450"/>
      <c r="FBM105" s="450"/>
      <c r="FBN105" s="450"/>
      <c r="FBO105" s="450"/>
      <c r="FBP105" s="450"/>
      <c r="FBQ105" s="450"/>
      <c r="FBR105" s="450"/>
      <c r="FBS105" s="450"/>
      <c r="FBT105" s="450"/>
      <c r="FBU105" s="450"/>
      <c r="FBV105" s="450"/>
      <c r="FBW105" s="450"/>
      <c r="FBX105" s="450"/>
      <c r="FBY105" s="450"/>
      <c r="FBZ105" s="450"/>
      <c r="FCA105" s="450"/>
      <c r="FCB105" s="450"/>
      <c r="FCC105" s="450"/>
      <c r="FCD105" s="450"/>
      <c r="FCE105" s="450"/>
      <c r="FCF105" s="450"/>
      <c r="FCG105" s="450"/>
      <c r="FCH105" s="450"/>
      <c r="FCI105" s="450"/>
      <c r="FCJ105" s="450"/>
      <c r="FCK105" s="450"/>
      <c r="FCL105" s="450"/>
      <c r="FCM105" s="450"/>
      <c r="FCN105" s="450"/>
      <c r="FCO105" s="450"/>
      <c r="FCP105" s="450"/>
      <c r="FCQ105" s="450"/>
      <c r="FCR105" s="450"/>
      <c r="FCS105" s="450"/>
      <c r="FCT105" s="450"/>
      <c r="FCU105" s="450"/>
      <c r="FCV105" s="450"/>
      <c r="FCW105" s="450"/>
      <c r="FCX105" s="450"/>
      <c r="FCY105" s="450"/>
      <c r="FCZ105" s="450"/>
      <c r="FDA105" s="450"/>
      <c r="FDB105" s="450"/>
      <c r="FDC105" s="450"/>
      <c r="FDD105" s="450"/>
      <c r="FDE105" s="450"/>
      <c r="FDF105" s="450"/>
      <c r="FDG105" s="450"/>
      <c r="FDH105" s="450"/>
      <c r="FDI105" s="450"/>
      <c r="FDJ105" s="450"/>
      <c r="FDK105" s="450"/>
      <c r="FDL105" s="450"/>
      <c r="FDM105" s="450"/>
      <c r="FDN105" s="450"/>
      <c r="FDO105" s="450"/>
      <c r="FDP105" s="450"/>
      <c r="FDQ105" s="450"/>
      <c r="FDR105" s="450"/>
      <c r="FDS105" s="450"/>
      <c r="FDT105" s="450"/>
      <c r="FDU105" s="450"/>
      <c r="FDV105" s="450"/>
      <c r="FDW105" s="450"/>
      <c r="FDX105" s="450"/>
      <c r="FDY105" s="450"/>
      <c r="FDZ105" s="450"/>
      <c r="FEA105" s="450"/>
      <c r="FEB105" s="450"/>
      <c r="FEC105" s="450"/>
      <c r="FED105" s="450"/>
      <c r="FEE105" s="450"/>
      <c r="FEF105" s="450"/>
      <c r="FEG105" s="450"/>
      <c r="FEH105" s="450"/>
      <c r="FEI105" s="450"/>
      <c r="FEJ105" s="450"/>
      <c r="FEK105" s="450"/>
      <c r="FEL105" s="450"/>
      <c r="FEM105" s="450"/>
      <c r="FEN105" s="450"/>
      <c r="FEO105" s="450"/>
      <c r="FEP105" s="450"/>
      <c r="FEQ105" s="450"/>
      <c r="FER105" s="450"/>
      <c r="FES105" s="450"/>
      <c r="FET105" s="450"/>
      <c r="FEU105" s="450"/>
      <c r="FEV105" s="450"/>
      <c r="FEW105" s="450"/>
      <c r="FEX105" s="450"/>
      <c r="FEY105" s="450"/>
      <c r="FEZ105" s="450"/>
      <c r="FFA105" s="450"/>
      <c r="FFB105" s="450"/>
      <c r="FFC105" s="450"/>
      <c r="FFD105" s="450"/>
      <c r="FFE105" s="450"/>
      <c r="FFF105" s="450"/>
      <c r="FFG105" s="450"/>
      <c r="FFH105" s="450"/>
      <c r="FFI105" s="450"/>
      <c r="FFJ105" s="450"/>
      <c r="FFK105" s="450"/>
      <c r="FFL105" s="450"/>
      <c r="FFM105" s="450"/>
      <c r="FFN105" s="450"/>
      <c r="FFO105" s="450"/>
      <c r="FFP105" s="450"/>
      <c r="FFQ105" s="450"/>
      <c r="FFR105" s="450"/>
      <c r="FFS105" s="450"/>
      <c r="FFT105" s="450"/>
      <c r="FFU105" s="450"/>
      <c r="FFV105" s="450"/>
      <c r="FFW105" s="450"/>
      <c r="FFX105" s="450"/>
      <c r="FFY105" s="450"/>
      <c r="FFZ105" s="450"/>
      <c r="FGA105" s="450"/>
      <c r="FGB105" s="450"/>
      <c r="FGC105" s="450"/>
      <c r="FGD105" s="450"/>
      <c r="FGE105" s="450"/>
      <c r="FGF105" s="450"/>
      <c r="FGG105" s="450"/>
      <c r="FGH105" s="450"/>
      <c r="FGI105" s="450"/>
      <c r="FGJ105" s="450"/>
      <c r="FGK105" s="450"/>
      <c r="FGL105" s="450"/>
      <c r="FGM105" s="450"/>
      <c r="FGN105" s="450"/>
      <c r="FGO105" s="450"/>
      <c r="FGP105" s="450"/>
      <c r="FGQ105" s="450"/>
      <c r="FGR105" s="450"/>
      <c r="FGS105" s="450"/>
      <c r="FGT105" s="450"/>
      <c r="FGU105" s="450"/>
      <c r="FGV105" s="450"/>
      <c r="FGW105" s="450"/>
      <c r="FGX105" s="450"/>
      <c r="FGY105" s="450"/>
      <c r="FGZ105" s="450"/>
      <c r="FHA105" s="450"/>
      <c r="FHB105" s="450"/>
      <c r="FHC105" s="450"/>
      <c r="FHD105" s="450"/>
      <c r="FHE105" s="450"/>
      <c r="FHF105" s="450"/>
      <c r="FHG105" s="450"/>
      <c r="FHH105" s="450"/>
      <c r="FHI105" s="450"/>
      <c r="FHJ105" s="450"/>
      <c r="FHK105" s="450"/>
      <c r="FHL105" s="450"/>
      <c r="FHM105" s="450"/>
      <c r="FHN105" s="450"/>
      <c r="FHO105" s="450"/>
      <c r="FHP105" s="450"/>
      <c r="FHQ105" s="450"/>
      <c r="FHR105" s="450"/>
      <c r="FHS105" s="450"/>
      <c r="FHT105" s="450"/>
      <c r="FHU105" s="450"/>
      <c r="FHV105" s="450"/>
      <c r="FHW105" s="450"/>
      <c r="FHX105" s="450"/>
      <c r="FHY105" s="450"/>
      <c r="FHZ105" s="450"/>
      <c r="FIA105" s="450"/>
      <c r="FIB105" s="450"/>
      <c r="FIC105" s="450"/>
      <c r="FID105" s="450"/>
      <c r="FIE105" s="450"/>
      <c r="FIF105" s="450"/>
      <c r="FIG105" s="450"/>
      <c r="FIH105" s="450"/>
      <c r="FII105" s="450"/>
      <c r="FIJ105" s="450"/>
      <c r="FIK105" s="450"/>
      <c r="FIL105" s="450"/>
      <c r="FIM105" s="450"/>
      <c r="FIN105" s="450"/>
      <c r="FIO105" s="450"/>
      <c r="FIP105" s="450"/>
      <c r="FIQ105" s="450"/>
      <c r="FIR105" s="450"/>
      <c r="FIS105" s="450"/>
      <c r="FIT105" s="450"/>
      <c r="FIU105" s="450"/>
      <c r="FIV105" s="450"/>
      <c r="FIW105" s="450"/>
      <c r="FIX105" s="450"/>
      <c r="FIY105" s="450"/>
      <c r="FIZ105" s="450"/>
      <c r="FJA105" s="450"/>
      <c r="FJB105" s="450"/>
      <c r="FJC105" s="450"/>
      <c r="FJD105" s="450"/>
      <c r="FJE105" s="450"/>
      <c r="FJF105" s="450"/>
      <c r="FJG105" s="450"/>
      <c r="FJH105" s="450"/>
      <c r="FJI105" s="450"/>
      <c r="FJJ105" s="450"/>
      <c r="FJK105" s="450"/>
      <c r="FJL105" s="450"/>
      <c r="FJM105" s="450"/>
      <c r="FJN105" s="450"/>
      <c r="FJO105" s="450"/>
      <c r="FJP105" s="450"/>
      <c r="FJQ105" s="450"/>
      <c r="FJR105" s="450"/>
      <c r="FJS105" s="450"/>
      <c r="FJT105" s="450"/>
      <c r="FJU105" s="450"/>
      <c r="FJV105" s="450"/>
      <c r="FJW105" s="450"/>
      <c r="FJX105" s="450"/>
      <c r="FJY105" s="450"/>
      <c r="FJZ105" s="450"/>
      <c r="FKA105" s="450"/>
      <c r="FKB105" s="450"/>
      <c r="FKC105" s="450"/>
      <c r="FKD105" s="450"/>
      <c r="FKE105" s="450"/>
      <c r="FKF105" s="450"/>
      <c r="FKG105" s="450"/>
      <c r="FKH105" s="450"/>
      <c r="FKI105" s="450"/>
      <c r="FKJ105" s="450"/>
      <c r="FKK105" s="450"/>
      <c r="FKL105" s="450"/>
      <c r="FKM105" s="450"/>
      <c r="FKN105" s="450"/>
      <c r="FKO105" s="450"/>
      <c r="FKP105" s="450"/>
      <c r="FKQ105" s="450"/>
      <c r="FKR105" s="450"/>
      <c r="FKS105" s="450"/>
      <c r="FKT105" s="450"/>
      <c r="FKU105" s="450"/>
      <c r="FKV105" s="450"/>
      <c r="FKW105" s="450"/>
      <c r="FKX105" s="450"/>
      <c r="FKY105" s="450"/>
      <c r="FKZ105" s="450"/>
      <c r="FLA105" s="450"/>
      <c r="FLB105" s="450"/>
      <c r="FLC105" s="450"/>
      <c r="FLD105" s="450"/>
      <c r="FLE105" s="450"/>
      <c r="FLF105" s="450"/>
      <c r="FLG105" s="450"/>
      <c r="FLH105" s="450"/>
      <c r="FLI105" s="450"/>
      <c r="FLJ105" s="450"/>
      <c r="FLK105" s="450"/>
      <c r="FLL105" s="450"/>
      <c r="FLM105" s="450"/>
      <c r="FLN105" s="450"/>
      <c r="FLO105" s="450"/>
      <c r="FLP105" s="450"/>
      <c r="FLQ105" s="450"/>
      <c r="FLR105" s="450"/>
      <c r="FLS105" s="450"/>
      <c r="FLT105" s="450"/>
      <c r="FLU105" s="450"/>
      <c r="FLV105" s="450"/>
      <c r="FLW105" s="450"/>
      <c r="FLX105" s="450"/>
      <c r="FLY105" s="450"/>
      <c r="FLZ105" s="450"/>
      <c r="FMA105" s="450"/>
      <c r="FMB105" s="450"/>
      <c r="FMC105" s="450"/>
      <c r="FMD105" s="450"/>
      <c r="FME105" s="450"/>
      <c r="FMF105" s="450"/>
      <c r="FMG105" s="450"/>
      <c r="FMH105" s="450"/>
      <c r="FMI105" s="450"/>
      <c r="FMJ105" s="450"/>
      <c r="FMK105" s="450"/>
      <c r="FML105" s="450"/>
      <c r="FMM105" s="450"/>
      <c r="FMN105" s="450"/>
      <c r="FMO105" s="450"/>
      <c r="FMP105" s="450"/>
      <c r="FMQ105" s="450"/>
      <c r="FMR105" s="450"/>
      <c r="FMS105" s="450"/>
      <c r="FMT105" s="450"/>
      <c r="FMU105" s="450"/>
      <c r="FMV105" s="450"/>
      <c r="FMW105" s="450"/>
      <c r="FMX105" s="450"/>
      <c r="FMY105" s="450"/>
      <c r="FMZ105" s="450"/>
      <c r="FNA105" s="450"/>
      <c r="FNB105" s="450"/>
      <c r="FNC105" s="450"/>
      <c r="FND105" s="450"/>
      <c r="FNE105" s="450"/>
      <c r="FNF105" s="450"/>
      <c r="FNG105" s="450"/>
      <c r="FNH105" s="450"/>
      <c r="FNI105" s="450"/>
      <c r="FNJ105" s="450"/>
      <c r="FNK105" s="450"/>
      <c r="FNL105" s="450"/>
      <c r="FNM105" s="450"/>
      <c r="FNN105" s="450"/>
      <c r="FNO105" s="450"/>
      <c r="FNP105" s="450"/>
      <c r="FNQ105" s="450"/>
      <c r="FNR105" s="450"/>
      <c r="FNS105" s="450"/>
      <c r="FNT105" s="450"/>
      <c r="FNU105" s="450"/>
      <c r="FNV105" s="450"/>
      <c r="FNW105" s="450"/>
      <c r="FNX105" s="450"/>
      <c r="FNY105" s="450"/>
      <c r="FNZ105" s="450"/>
      <c r="FOA105" s="450"/>
      <c r="FOB105" s="450"/>
      <c r="FOC105" s="450"/>
      <c r="FOD105" s="450"/>
      <c r="FOE105" s="450"/>
      <c r="FOF105" s="450"/>
      <c r="FOG105" s="450"/>
      <c r="FOH105" s="450"/>
      <c r="FOI105" s="450"/>
      <c r="FOJ105" s="450"/>
      <c r="FOK105" s="450"/>
      <c r="FOL105" s="450"/>
      <c r="FOM105" s="450"/>
      <c r="FON105" s="450"/>
      <c r="FOO105" s="450"/>
      <c r="FOP105" s="450"/>
      <c r="FOQ105" s="450"/>
      <c r="FOR105" s="450"/>
      <c r="FOS105" s="450"/>
      <c r="FOT105" s="450"/>
      <c r="FOU105" s="450"/>
      <c r="FOV105" s="450"/>
      <c r="FOW105" s="450"/>
      <c r="FOX105" s="450"/>
      <c r="FOY105" s="450"/>
      <c r="FOZ105" s="450"/>
      <c r="FPA105" s="450"/>
      <c r="FPB105" s="450"/>
      <c r="FPC105" s="450"/>
      <c r="FPD105" s="450"/>
      <c r="FPE105" s="450"/>
      <c r="FPF105" s="450"/>
      <c r="FPG105" s="450"/>
      <c r="FPH105" s="450"/>
      <c r="FPI105" s="450"/>
      <c r="FPJ105" s="450"/>
      <c r="FPK105" s="450"/>
      <c r="FPL105" s="450"/>
      <c r="FPM105" s="450"/>
      <c r="FPN105" s="450"/>
      <c r="FPO105" s="450"/>
      <c r="FPP105" s="450"/>
      <c r="FPQ105" s="450"/>
      <c r="FPR105" s="450"/>
      <c r="FPS105" s="450"/>
      <c r="FPT105" s="450"/>
      <c r="FPU105" s="450"/>
      <c r="FPV105" s="450"/>
      <c r="FPW105" s="450"/>
      <c r="FPX105" s="450"/>
      <c r="FPY105" s="450"/>
      <c r="FPZ105" s="450"/>
      <c r="FQA105" s="450"/>
      <c r="FQB105" s="450"/>
      <c r="FQC105" s="450"/>
      <c r="FQD105" s="450"/>
      <c r="FQE105" s="450"/>
      <c r="FQF105" s="450"/>
      <c r="FQG105" s="450"/>
      <c r="FQH105" s="450"/>
      <c r="FQI105" s="450"/>
      <c r="FQJ105" s="450"/>
      <c r="FQK105" s="450"/>
      <c r="FQL105" s="450"/>
      <c r="FQM105" s="450"/>
      <c r="FQN105" s="450"/>
      <c r="FQO105" s="450"/>
      <c r="FQP105" s="450"/>
      <c r="FQQ105" s="450"/>
      <c r="FQR105" s="450"/>
      <c r="FQS105" s="450"/>
      <c r="FQT105" s="450"/>
      <c r="FQU105" s="450"/>
      <c r="FQV105" s="450"/>
      <c r="FQW105" s="450"/>
      <c r="FQX105" s="450"/>
      <c r="FQY105" s="450"/>
      <c r="FQZ105" s="450"/>
      <c r="FRA105" s="450"/>
      <c r="FRB105" s="450"/>
      <c r="FRC105" s="450"/>
      <c r="FRD105" s="450"/>
      <c r="FRE105" s="450"/>
      <c r="FRF105" s="450"/>
      <c r="FRG105" s="450"/>
      <c r="FRH105" s="450"/>
      <c r="FRI105" s="450"/>
      <c r="FRJ105" s="450"/>
      <c r="FRK105" s="450"/>
      <c r="FRL105" s="450"/>
      <c r="FRM105" s="450"/>
      <c r="FRN105" s="450"/>
      <c r="FRO105" s="450"/>
      <c r="FRP105" s="450"/>
      <c r="FRQ105" s="450"/>
      <c r="FRR105" s="450"/>
      <c r="FRS105" s="450"/>
      <c r="FRT105" s="450"/>
      <c r="FRU105" s="450"/>
      <c r="FRV105" s="450"/>
      <c r="FRW105" s="450"/>
      <c r="FRX105" s="450"/>
      <c r="FRY105" s="450"/>
      <c r="FRZ105" s="450"/>
      <c r="FSA105" s="450"/>
      <c r="FSB105" s="450"/>
      <c r="FSC105" s="450"/>
      <c r="FSD105" s="450"/>
      <c r="FSE105" s="450"/>
      <c r="FSF105" s="450"/>
      <c r="FSG105" s="450"/>
      <c r="FSH105" s="450"/>
      <c r="FSI105" s="450"/>
      <c r="FSJ105" s="450"/>
      <c r="FSK105" s="450"/>
      <c r="FSL105" s="450"/>
      <c r="FSM105" s="450"/>
      <c r="FSN105" s="450"/>
      <c r="FSO105" s="450"/>
      <c r="FSP105" s="450"/>
      <c r="FSQ105" s="450"/>
      <c r="FSR105" s="450"/>
      <c r="FSS105" s="450"/>
      <c r="FST105" s="450"/>
      <c r="FSU105" s="450"/>
      <c r="FSV105" s="450"/>
      <c r="FSW105" s="450"/>
      <c r="FSX105" s="450"/>
      <c r="FSY105" s="450"/>
      <c r="FSZ105" s="450"/>
      <c r="FTA105" s="450"/>
      <c r="FTB105" s="450"/>
      <c r="FTC105" s="450"/>
      <c r="FTD105" s="450"/>
      <c r="FTE105" s="450"/>
      <c r="FTF105" s="450"/>
      <c r="FTG105" s="450"/>
      <c r="FTH105" s="450"/>
      <c r="FTI105" s="450"/>
      <c r="FTJ105" s="450"/>
      <c r="FTK105" s="450"/>
      <c r="FTL105" s="450"/>
      <c r="FTM105" s="450"/>
      <c r="FTN105" s="450"/>
      <c r="FTO105" s="450"/>
      <c r="FTP105" s="450"/>
      <c r="FTQ105" s="450"/>
      <c r="FTR105" s="450"/>
      <c r="FTS105" s="450"/>
      <c r="FTT105" s="450"/>
      <c r="FTU105" s="450"/>
      <c r="FTV105" s="450"/>
      <c r="FTW105" s="450"/>
      <c r="FTX105" s="450"/>
      <c r="FTY105" s="450"/>
      <c r="FTZ105" s="450"/>
      <c r="FUA105" s="450"/>
      <c r="FUB105" s="450"/>
      <c r="FUC105" s="450"/>
      <c r="FUD105" s="450"/>
      <c r="FUE105" s="450"/>
      <c r="FUF105" s="450"/>
      <c r="FUG105" s="450"/>
      <c r="FUH105" s="450"/>
      <c r="FUI105" s="450"/>
      <c r="FUJ105" s="450"/>
      <c r="FUK105" s="450"/>
      <c r="FUL105" s="450"/>
      <c r="FUM105" s="450"/>
      <c r="FUN105" s="450"/>
      <c r="FUO105" s="450"/>
      <c r="FUP105" s="450"/>
      <c r="FUQ105" s="450"/>
      <c r="FUR105" s="450"/>
      <c r="FUS105" s="450"/>
      <c r="FUT105" s="450"/>
      <c r="FUU105" s="450"/>
      <c r="FUV105" s="450"/>
      <c r="FUW105" s="450"/>
      <c r="FUX105" s="450"/>
      <c r="FUY105" s="450"/>
      <c r="FUZ105" s="450"/>
      <c r="FVA105" s="450"/>
      <c r="FVB105" s="450"/>
      <c r="FVC105" s="450"/>
      <c r="FVD105" s="450"/>
      <c r="FVE105" s="450"/>
      <c r="FVF105" s="450"/>
      <c r="FVG105" s="450"/>
      <c r="FVH105" s="450"/>
      <c r="FVI105" s="450"/>
      <c r="FVJ105" s="450"/>
      <c r="FVK105" s="450"/>
      <c r="FVL105" s="450"/>
      <c r="FVM105" s="450"/>
      <c r="FVN105" s="450"/>
      <c r="FVO105" s="450"/>
      <c r="FVP105" s="450"/>
      <c r="FVQ105" s="450"/>
      <c r="FVR105" s="450"/>
      <c r="FVS105" s="450"/>
      <c r="FVT105" s="450"/>
      <c r="FVU105" s="450"/>
      <c r="FVV105" s="450"/>
      <c r="FVW105" s="450"/>
      <c r="FVX105" s="450"/>
      <c r="FVY105" s="450"/>
      <c r="FVZ105" s="450"/>
      <c r="FWA105" s="450"/>
      <c r="FWB105" s="450"/>
      <c r="FWC105" s="450"/>
      <c r="FWD105" s="450"/>
      <c r="FWE105" s="450"/>
      <c r="FWF105" s="450"/>
      <c r="FWG105" s="450"/>
      <c r="FWH105" s="450"/>
      <c r="FWI105" s="450"/>
      <c r="FWJ105" s="450"/>
      <c r="FWK105" s="450"/>
      <c r="FWL105" s="450"/>
      <c r="FWM105" s="450"/>
      <c r="FWN105" s="450"/>
      <c r="FWO105" s="450"/>
      <c r="FWP105" s="450"/>
      <c r="FWQ105" s="450"/>
      <c r="FWR105" s="450"/>
      <c r="FWS105" s="450"/>
      <c r="FWT105" s="450"/>
      <c r="FWU105" s="450"/>
      <c r="FWV105" s="450"/>
      <c r="FWW105" s="450"/>
      <c r="FWX105" s="450"/>
      <c r="FWY105" s="450"/>
      <c r="FWZ105" s="450"/>
      <c r="FXA105" s="450"/>
      <c r="FXB105" s="450"/>
      <c r="FXC105" s="450"/>
      <c r="FXD105" s="450"/>
      <c r="FXE105" s="450"/>
      <c r="FXF105" s="450"/>
      <c r="FXG105" s="450"/>
      <c r="FXH105" s="450"/>
      <c r="FXI105" s="450"/>
      <c r="FXJ105" s="450"/>
      <c r="FXK105" s="450"/>
      <c r="FXL105" s="450"/>
      <c r="FXM105" s="450"/>
      <c r="FXN105" s="450"/>
      <c r="FXO105" s="450"/>
      <c r="FXP105" s="450"/>
      <c r="FXQ105" s="450"/>
      <c r="FXR105" s="450"/>
      <c r="FXS105" s="450"/>
      <c r="FXT105" s="450"/>
      <c r="FXU105" s="450"/>
      <c r="FXV105" s="450"/>
      <c r="FXW105" s="450"/>
      <c r="FXX105" s="450"/>
      <c r="FXY105" s="450"/>
      <c r="FXZ105" s="450"/>
      <c r="FYA105" s="450"/>
      <c r="FYB105" s="450"/>
      <c r="FYC105" s="450"/>
      <c r="FYD105" s="450"/>
      <c r="FYE105" s="450"/>
      <c r="FYF105" s="450"/>
      <c r="FYG105" s="450"/>
      <c r="FYH105" s="450"/>
      <c r="FYI105" s="450"/>
      <c r="FYJ105" s="450"/>
      <c r="FYK105" s="450"/>
      <c r="FYL105" s="450"/>
      <c r="FYM105" s="450"/>
      <c r="FYN105" s="450"/>
      <c r="FYO105" s="450"/>
      <c r="FYP105" s="450"/>
      <c r="FYQ105" s="450"/>
      <c r="FYR105" s="450"/>
      <c r="FYS105" s="450"/>
      <c r="FYT105" s="450"/>
      <c r="FYU105" s="450"/>
      <c r="FYV105" s="450"/>
      <c r="FYW105" s="450"/>
      <c r="FYX105" s="450"/>
      <c r="FYY105" s="450"/>
      <c r="FYZ105" s="450"/>
      <c r="FZA105" s="450"/>
      <c r="FZB105" s="450"/>
      <c r="FZC105" s="450"/>
      <c r="FZD105" s="450"/>
      <c r="FZE105" s="450"/>
      <c r="FZF105" s="450"/>
      <c r="FZG105" s="450"/>
      <c r="FZH105" s="450"/>
      <c r="FZI105" s="450"/>
      <c r="FZJ105" s="450"/>
      <c r="FZK105" s="450"/>
      <c r="FZL105" s="450"/>
      <c r="FZM105" s="450"/>
      <c r="FZN105" s="450"/>
      <c r="FZO105" s="450"/>
      <c r="FZP105" s="450"/>
      <c r="FZQ105" s="450"/>
      <c r="FZR105" s="450"/>
      <c r="FZS105" s="450"/>
      <c r="FZT105" s="450"/>
      <c r="FZU105" s="450"/>
      <c r="FZV105" s="450"/>
      <c r="FZW105" s="450"/>
      <c r="FZX105" s="450"/>
      <c r="FZY105" s="450"/>
      <c r="FZZ105" s="450"/>
      <c r="GAA105" s="450"/>
      <c r="GAB105" s="450"/>
      <c r="GAC105" s="450"/>
      <c r="GAD105" s="450"/>
      <c r="GAE105" s="450"/>
      <c r="GAF105" s="450"/>
      <c r="GAG105" s="450"/>
      <c r="GAH105" s="450"/>
      <c r="GAI105" s="450"/>
      <c r="GAJ105" s="450"/>
      <c r="GAK105" s="450"/>
      <c r="GAL105" s="450"/>
      <c r="GAM105" s="450"/>
      <c r="GAN105" s="450"/>
      <c r="GAO105" s="450"/>
      <c r="GAP105" s="450"/>
      <c r="GAQ105" s="450"/>
      <c r="GAR105" s="450"/>
      <c r="GAS105" s="450"/>
      <c r="GAT105" s="450"/>
      <c r="GAU105" s="450"/>
      <c r="GAV105" s="450"/>
      <c r="GAW105" s="450"/>
      <c r="GAX105" s="450"/>
      <c r="GAY105" s="450"/>
      <c r="GAZ105" s="450"/>
      <c r="GBA105" s="450"/>
      <c r="GBB105" s="450"/>
      <c r="GBC105" s="450"/>
      <c r="GBD105" s="450"/>
      <c r="GBE105" s="450"/>
      <c r="GBF105" s="450"/>
      <c r="GBG105" s="450"/>
      <c r="GBH105" s="450"/>
      <c r="GBI105" s="450"/>
      <c r="GBJ105" s="450"/>
      <c r="GBK105" s="450"/>
      <c r="GBL105" s="450"/>
      <c r="GBM105" s="450"/>
      <c r="GBN105" s="450"/>
      <c r="GBO105" s="450"/>
      <c r="GBP105" s="450"/>
      <c r="GBQ105" s="450"/>
      <c r="GBR105" s="450"/>
      <c r="GBS105" s="450"/>
      <c r="GBT105" s="450"/>
      <c r="GBU105" s="450"/>
      <c r="GBV105" s="450"/>
      <c r="GBW105" s="450"/>
      <c r="GBX105" s="450"/>
      <c r="GBY105" s="450"/>
      <c r="GBZ105" s="450"/>
      <c r="GCA105" s="450"/>
      <c r="GCB105" s="450"/>
      <c r="GCC105" s="450"/>
      <c r="GCD105" s="450"/>
      <c r="GCE105" s="450"/>
      <c r="GCF105" s="450"/>
      <c r="GCG105" s="450"/>
      <c r="GCH105" s="450"/>
      <c r="GCI105" s="450"/>
      <c r="GCJ105" s="450"/>
      <c r="GCK105" s="450"/>
      <c r="GCL105" s="450"/>
      <c r="GCM105" s="450"/>
      <c r="GCN105" s="450"/>
      <c r="GCO105" s="450"/>
      <c r="GCP105" s="450"/>
      <c r="GCQ105" s="450"/>
      <c r="GCR105" s="450"/>
      <c r="GCS105" s="450"/>
      <c r="GCT105" s="450"/>
      <c r="GCU105" s="450"/>
      <c r="GCV105" s="450"/>
      <c r="GCW105" s="450"/>
      <c r="GCX105" s="450"/>
      <c r="GCY105" s="450"/>
      <c r="GCZ105" s="450"/>
      <c r="GDA105" s="450"/>
      <c r="GDB105" s="450"/>
      <c r="GDC105" s="450"/>
      <c r="GDD105" s="450"/>
      <c r="GDE105" s="450"/>
      <c r="GDF105" s="450"/>
      <c r="GDG105" s="450"/>
      <c r="GDH105" s="450"/>
      <c r="GDI105" s="450"/>
      <c r="GDJ105" s="450"/>
      <c r="GDK105" s="450"/>
      <c r="GDL105" s="450"/>
      <c r="GDM105" s="450"/>
      <c r="GDN105" s="450"/>
      <c r="GDO105" s="450"/>
      <c r="GDP105" s="450"/>
      <c r="GDQ105" s="450"/>
      <c r="GDR105" s="450"/>
      <c r="GDS105" s="450"/>
      <c r="GDT105" s="450"/>
      <c r="GDU105" s="450"/>
      <c r="GDV105" s="450"/>
      <c r="GDW105" s="450"/>
      <c r="GDX105" s="450"/>
      <c r="GDY105" s="450"/>
      <c r="GDZ105" s="450"/>
      <c r="GEA105" s="450"/>
      <c r="GEB105" s="450"/>
      <c r="GEC105" s="450"/>
      <c r="GED105" s="450"/>
      <c r="GEE105" s="450"/>
      <c r="GEF105" s="450"/>
      <c r="GEG105" s="450"/>
      <c r="GEH105" s="450"/>
      <c r="GEI105" s="450"/>
      <c r="GEJ105" s="450"/>
      <c r="GEK105" s="450"/>
      <c r="GEL105" s="450"/>
      <c r="GEM105" s="450"/>
      <c r="GEN105" s="450"/>
      <c r="GEO105" s="450"/>
      <c r="GEP105" s="450"/>
      <c r="GEQ105" s="450"/>
      <c r="GER105" s="450"/>
      <c r="GES105" s="450"/>
      <c r="GET105" s="450"/>
      <c r="GEU105" s="450"/>
      <c r="GEV105" s="450"/>
      <c r="GEW105" s="450"/>
      <c r="GEX105" s="450"/>
      <c r="GEY105" s="450"/>
      <c r="GEZ105" s="450"/>
      <c r="GFA105" s="450"/>
      <c r="GFB105" s="450"/>
      <c r="GFC105" s="450"/>
      <c r="GFD105" s="450"/>
      <c r="GFE105" s="450"/>
      <c r="GFF105" s="450"/>
      <c r="GFG105" s="450"/>
      <c r="GFH105" s="450"/>
      <c r="GFI105" s="450"/>
      <c r="GFJ105" s="450"/>
      <c r="GFK105" s="450"/>
      <c r="GFL105" s="450"/>
      <c r="GFM105" s="450"/>
      <c r="GFN105" s="450"/>
      <c r="GFO105" s="450"/>
      <c r="GFP105" s="450"/>
      <c r="GFQ105" s="450"/>
      <c r="GFR105" s="450"/>
      <c r="GFS105" s="450"/>
      <c r="GFT105" s="450"/>
      <c r="GFU105" s="450"/>
      <c r="GFV105" s="450"/>
      <c r="GFW105" s="450"/>
      <c r="GFX105" s="450"/>
      <c r="GFY105" s="450"/>
      <c r="GFZ105" s="450"/>
      <c r="GGA105" s="450"/>
      <c r="GGB105" s="450"/>
      <c r="GGC105" s="450"/>
      <c r="GGD105" s="450"/>
      <c r="GGE105" s="450"/>
      <c r="GGF105" s="450"/>
      <c r="GGG105" s="450"/>
      <c r="GGH105" s="450"/>
      <c r="GGI105" s="450"/>
      <c r="GGJ105" s="450"/>
      <c r="GGK105" s="450"/>
      <c r="GGL105" s="450"/>
      <c r="GGM105" s="450"/>
      <c r="GGN105" s="450"/>
      <c r="GGO105" s="450"/>
      <c r="GGP105" s="450"/>
      <c r="GGQ105" s="450"/>
      <c r="GGR105" s="450"/>
      <c r="GGS105" s="450"/>
      <c r="GGT105" s="450"/>
      <c r="GGU105" s="450"/>
      <c r="GGV105" s="450"/>
      <c r="GGW105" s="450"/>
      <c r="GGX105" s="450"/>
      <c r="GGY105" s="450"/>
      <c r="GGZ105" s="450"/>
      <c r="GHA105" s="450"/>
      <c r="GHB105" s="450"/>
      <c r="GHC105" s="450"/>
      <c r="GHD105" s="450"/>
      <c r="GHE105" s="450"/>
      <c r="GHF105" s="450"/>
      <c r="GHG105" s="450"/>
      <c r="GHH105" s="450"/>
      <c r="GHI105" s="450"/>
      <c r="GHJ105" s="450"/>
      <c r="GHK105" s="450"/>
      <c r="GHL105" s="450"/>
      <c r="GHM105" s="450"/>
      <c r="GHN105" s="450"/>
      <c r="GHO105" s="450"/>
      <c r="GHP105" s="450"/>
      <c r="GHQ105" s="450"/>
      <c r="GHR105" s="450"/>
      <c r="GHS105" s="450"/>
      <c r="GHT105" s="450"/>
      <c r="GHU105" s="450"/>
      <c r="GHV105" s="450"/>
      <c r="GHW105" s="450"/>
      <c r="GHX105" s="450"/>
      <c r="GHY105" s="450"/>
      <c r="GHZ105" s="450"/>
      <c r="GIA105" s="450"/>
      <c r="GIB105" s="450"/>
      <c r="GIC105" s="450"/>
      <c r="GID105" s="450"/>
      <c r="GIE105" s="450"/>
      <c r="GIF105" s="450"/>
      <c r="GIG105" s="450"/>
      <c r="GIH105" s="450"/>
      <c r="GII105" s="450"/>
      <c r="GIJ105" s="450"/>
      <c r="GIK105" s="450"/>
      <c r="GIL105" s="450"/>
      <c r="GIM105" s="450"/>
      <c r="GIN105" s="450"/>
      <c r="GIO105" s="450"/>
      <c r="GIP105" s="450"/>
      <c r="GIQ105" s="450"/>
      <c r="GIR105" s="450"/>
      <c r="GIS105" s="450"/>
      <c r="GIT105" s="450"/>
      <c r="GIU105" s="450"/>
      <c r="GIV105" s="450"/>
      <c r="GIW105" s="450"/>
      <c r="GIX105" s="450"/>
      <c r="GIY105" s="450"/>
      <c r="GIZ105" s="450"/>
      <c r="GJA105" s="450"/>
      <c r="GJB105" s="450"/>
      <c r="GJC105" s="450"/>
      <c r="GJD105" s="450"/>
      <c r="GJE105" s="450"/>
      <c r="GJF105" s="450"/>
      <c r="GJG105" s="450"/>
      <c r="GJH105" s="450"/>
      <c r="GJI105" s="450"/>
      <c r="GJJ105" s="450"/>
      <c r="GJK105" s="450"/>
      <c r="GJL105" s="450"/>
      <c r="GJM105" s="450"/>
      <c r="GJN105" s="450"/>
      <c r="GJO105" s="450"/>
      <c r="GJP105" s="450"/>
      <c r="GJQ105" s="450"/>
      <c r="GJR105" s="450"/>
      <c r="GJS105" s="450"/>
      <c r="GJT105" s="450"/>
      <c r="GJU105" s="450"/>
      <c r="GJV105" s="450"/>
      <c r="GJW105" s="450"/>
      <c r="GJX105" s="450"/>
      <c r="GJY105" s="450"/>
      <c r="GJZ105" s="450"/>
      <c r="GKA105" s="450"/>
      <c r="GKB105" s="450"/>
      <c r="GKC105" s="450"/>
      <c r="GKD105" s="450"/>
      <c r="GKE105" s="450"/>
      <c r="GKF105" s="450"/>
      <c r="GKG105" s="450"/>
      <c r="GKH105" s="450"/>
      <c r="GKI105" s="450"/>
      <c r="GKJ105" s="450"/>
      <c r="GKK105" s="450"/>
      <c r="GKL105" s="450"/>
      <c r="GKM105" s="450"/>
      <c r="GKN105" s="450"/>
      <c r="GKO105" s="450"/>
      <c r="GKP105" s="450"/>
      <c r="GKQ105" s="450"/>
      <c r="GKR105" s="450"/>
      <c r="GKS105" s="450"/>
      <c r="GKT105" s="450"/>
      <c r="GKU105" s="450"/>
      <c r="GKV105" s="450"/>
      <c r="GKW105" s="450"/>
      <c r="GKX105" s="450"/>
      <c r="GKY105" s="450"/>
      <c r="GKZ105" s="450"/>
      <c r="GLA105" s="450"/>
      <c r="GLB105" s="450"/>
      <c r="GLC105" s="450"/>
      <c r="GLD105" s="450"/>
      <c r="GLE105" s="450"/>
      <c r="GLF105" s="450"/>
      <c r="GLG105" s="450"/>
      <c r="GLH105" s="450"/>
      <c r="GLI105" s="450"/>
      <c r="GLJ105" s="450"/>
      <c r="GLK105" s="450"/>
      <c r="GLL105" s="450"/>
      <c r="GLM105" s="450"/>
      <c r="GLN105" s="450"/>
      <c r="GLO105" s="450"/>
      <c r="GLP105" s="450"/>
      <c r="GLQ105" s="450"/>
      <c r="GLR105" s="450"/>
      <c r="GLS105" s="450"/>
      <c r="GLT105" s="450"/>
      <c r="GLU105" s="450"/>
      <c r="GLV105" s="450"/>
      <c r="GLW105" s="450"/>
      <c r="GLX105" s="450"/>
      <c r="GLY105" s="450"/>
      <c r="GLZ105" s="450"/>
      <c r="GMA105" s="450"/>
      <c r="GMB105" s="450"/>
      <c r="GMC105" s="450"/>
      <c r="GMD105" s="450"/>
      <c r="GME105" s="450"/>
      <c r="GMF105" s="450"/>
      <c r="GMG105" s="450"/>
      <c r="GMH105" s="450"/>
      <c r="GMI105" s="450"/>
      <c r="GMJ105" s="450"/>
      <c r="GMK105" s="450"/>
      <c r="GML105" s="450"/>
      <c r="GMM105" s="450"/>
      <c r="GMN105" s="450"/>
      <c r="GMO105" s="450"/>
      <c r="GMP105" s="450"/>
      <c r="GMQ105" s="450"/>
      <c r="GMR105" s="450"/>
      <c r="GMS105" s="450"/>
      <c r="GMT105" s="450"/>
      <c r="GMU105" s="450"/>
      <c r="GMV105" s="450"/>
      <c r="GMW105" s="450"/>
      <c r="GMX105" s="450"/>
      <c r="GMY105" s="450"/>
      <c r="GMZ105" s="450"/>
      <c r="GNA105" s="450"/>
      <c r="GNB105" s="450"/>
      <c r="GNC105" s="450"/>
      <c r="GND105" s="450"/>
      <c r="GNE105" s="450"/>
      <c r="GNF105" s="450"/>
      <c r="GNG105" s="450"/>
      <c r="GNH105" s="450"/>
      <c r="GNI105" s="450"/>
      <c r="GNJ105" s="450"/>
      <c r="GNK105" s="450"/>
      <c r="GNL105" s="450"/>
      <c r="GNM105" s="450"/>
      <c r="GNN105" s="450"/>
      <c r="GNO105" s="450"/>
      <c r="GNP105" s="450"/>
      <c r="GNQ105" s="450"/>
      <c r="GNR105" s="450"/>
      <c r="GNS105" s="450"/>
      <c r="GNT105" s="450"/>
      <c r="GNU105" s="450"/>
      <c r="GNV105" s="450"/>
      <c r="GNW105" s="450"/>
      <c r="GNX105" s="450"/>
      <c r="GNY105" s="450"/>
      <c r="GNZ105" s="450"/>
      <c r="GOA105" s="450"/>
      <c r="GOB105" s="450"/>
      <c r="GOC105" s="450"/>
      <c r="GOD105" s="450"/>
      <c r="GOE105" s="450"/>
      <c r="GOF105" s="450"/>
      <c r="GOG105" s="450"/>
      <c r="GOH105" s="450"/>
      <c r="GOI105" s="450"/>
      <c r="GOJ105" s="450"/>
      <c r="GOK105" s="450"/>
      <c r="GOL105" s="450"/>
      <c r="GOM105" s="450"/>
      <c r="GON105" s="450"/>
      <c r="GOO105" s="450"/>
      <c r="GOP105" s="450"/>
      <c r="GOQ105" s="450"/>
      <c r="GOR105" s="450"/>
      <c r="GOS105" s="450"/>
      <c r="GOT105" s="450"/>
      <c r="GOU105" s="450"/>
      <c r="GOV105" s="450"/>
      <c r="GOW105" s="450"/>
      <c r="GOX105" s="450"/>
      <c r="GOY105" s="450"/>
      <c r="GOZ105" s="450"/>
      <c r="GPA105" s="450"/>
      <c r="GPB105" s="450"/>
      <c r="GPC105" s="450"/>
      <c r="GPD105" s="450"/>
      <c r="GPE105" s="450"/>
      <c r="GPF105" s="450"/>
      <c r="GPG105" s="450"/>
      <c r="GPH105" s="450"/>
      <c r="GPI105" s="450"/>
      <c r="GPJ105" s="450"/>
      <c r="GPK105" s="450"/>
      <c r="GPL105" s="450"/>
      <c r="GPM105" s="450"/>
      <c r="GPN105" s="450"/>
      <c r="GPO105" s="450"/>
      <c r="GPP105" s="450"/>
      <c r="GPQ105" s="450"/>
      <c r="GPR105" s="450"/>
      <c r="GPS105" s="450"/>
      <c r="GPT105" s="450"/>
      <c r="GPU105" s="450"/>
      <c r="GPV105" s="450"/>
      <c r="GPW105" s="450"/>
      <c r="GPX105" s="450"/>
      <c r="GPY105" s="450"/>
      <c r="GPZ105" s="450"/>
      <c r="GQA105" s="450"/>
      <c r="GQB105" s="450"/>
      <c r="GQC105" s="450"/>
      <c r="GQD105" s="450"/>
      <c r="GQE105" s="450"/>
      <c r="GQF105" s="450"/>
      <c r="GQG105" s="450"/>
      <c r="GQH105" s="450"/>
      <c r="GQI105" s="450"/>
      <c r="GQJ105" s="450"/>
      <c r="GQK105" s="450"/>
      <c r="GQL105" s="450"/>
      <c r="GQM105" s="450"/>
      <c r="GQN105" s="450"/>
      <c r="GQO105" s="450"/>
      <c r="GQP105" s="450"/>
      <c r="GQQ105" s="450"/>
      <c r="GQR105" s="450"/>
      <c r="GQS105" s="450"/>
      <c r="GQT105" s="450"/>
      <c r="GQU105" s="450"/>
      <c r="GQV105" s="450"/>
      <c r="GQW105" s="450"/>
      <c r="GQX105" s="450"/>
      <c r="GQY105" s="450"/>
      <c r="GQZ105" s="450"/>
      <c r="GRA105" s="450"/>
      <c r="GRB105" s="450"/>
      <c r="GRC105" s="450"/>
      <c r="GRD105" s="450"/>
      <c r="GRE105" s="450"/>
      <c r="GRF105" s="450"/>
      <c r="GRG105" s="450"/>
      <c r="GRH105" s="450"/>
      <c r="GRI105" s="450"/>
      <c r="GRJ105" s="450"/>
      <c r="GRK105" s="450"/>
      <c r="GRL105" s="450"/>
      <c r="GRM105" s="450"/>
      <c r="GRN105" s="450"/>
      <c r="GRO105" s="450"/>
      <c r="GRP105" s="450"/>
      <c r="GRQ105" s="450"/>
      <c r="GRR105" s="450"/>
      <c r="GRS105" s="450"/>
      <c r="GRT105" s="450"/>
      <c r="GRU105" s="450"/>
      <c r="GRV105" s="450"/>
      <c r="GRW105" s="450"/>
      <c r="GRX105" s="450"/>
      <c r="GRY105" s="450"/>
      <c r="GRZ105" s="450"/>
      <c r="GSA105" s="450"/>
      <c r="GSB105" s="450"/>
      <c r="GSC105" s="450"/>
      <c r="GSD105" s="450"/>
      <c r="GSE105" s="450"/>
      <c r="GSF105" s="450"/>
      <c r="GSG105" s="450"/>
      <c r="GSH105" s="450"/>
      <c r="GSI105" s="450"/>
      <c r="GSJ105" s="450"/>
      <c r="GSK105" s="450"/>
      <c r="GSL105" s="450"/>
      <c r="GSM105" s="450"/>
      <c r="GSN105" s="450"/>
      <c r="GSO105" s="450"/>
      <c r="GSP105" s="450"/>
      <c r="GSQ105" s="450"/>
      <c r="GSR105" s="450"/>
      <c r="GSS105" s="450"/>
      <c r="GST105" s="450"/>
      <c r="GSU105" s="450"/>
      <c r="GSV105" s="450"/>
      <c r="GSW105" s="450"/>
      <c r="GSX105" s="450"/>
      <c r="GSY105" s="450"/>
      <c r="GSZ105" s="450"/>
      <c r="GTA105" s="450"/>
      <c r="GTB105" s="450"/>
      <c r="GTC105" s="450"/>
      <c r="GTD105" s="450"/>
      <c r="GTE105" s="450"/>
      <c r="GTF105" s="450"/>
      <c r="GTG105" s="450"/>
      <c r="GTH105" s="450"/>
      <c r="GTI105" s="450"/>
      <c r="GTJ105" s="450"/>
      <c r="GTK105" s="450"/>
      <c r="GTL105" s="450"/>
      <c r="GTM105" s="450"/>
      <c r="GTN105" s="450"/>
      <c r="GTO105" s="450"/>
      <c r="GTP105" s="450"/>
      <c r="GTQ105" s="450"/>
      <c r="GTR105" s="450"/>
      <c r="GTS105" s="450"/>
      <c r="GTT105" s="450"/>
      <c r="GTU105" s="450"/>
      <c r="GTV105" s="450"/>
      <c r="GTW105" s="450"/>
      <c r="GTX105" s="450"/>
      <c r="GTY105" s="450"/>
      <c r="GTZ105" s="450"/>
      <c r="GUA105" s="450"/>
      <c r="GUB105" s="450"/>
      <c r="GUC105" s="450"/>
      <c r="GUD105" s="450"/>
      <c r="GUE105" s="450"/>
      <c r="GUF105" s="450"/>
      <c r="GUG105" s="450"/>
      <c r="GUH105" s="450"/>
      <c r="GUI105" s="450"/>
      <c r="GUJ105" s="450"/>
      <c r="GUK105" s="450"/>
      <c r="GUL105" s="450"/>
      <c r="GUM105" s="450"/>
      <c r="GUN105" s="450"/>
      <c r="GUO105" s="450"/>
      <c r="GUP105" s="450"/>
      <c r="GUQ105" s="450"/>
      <c r="GUR105" s="450"/>
      <c r="GUS105" s="450"/>
      <c r="GUT105" s="450"/>
      <c r="GUU105" s="450"/>
      <c r="GUV105" s="450"/>
      <c r="GUW105" s="450"/>
      <c r="GUX105" s="450"/>
      <c r="GUY105" s="450"/>
      <c r="GUZ105" s="450"/>
      <c r="GVA105" s="450"/>
      <c r="GVB105" s="450"/>
      <c r="GVC105" s="450"/>
      <c r="GVD105" s="450"/>
      <c r="GVE105" s="450"/>
      <c r="GVF105" s="450"/>
      <c r="GVG105" s="450"/>
      <c r="GVH105" s="450"/>
      <c r="GVI105" s="450"/>
      <c r="GVJ105" s="450"/>
      <c r="GVK105" s="450"/>
      <c r="GVL105" s="450"/>
      <c r="GVM105" s="450"/>
      <c r="GVN105" s="450"/>
      <c r="GVO105" s="450"/>
      <c r="GVP105" s="450"/>
      <c r="GVQ105" s="450"/>
      <c r="GVR105" s="450"/>
      <c r="GVS105" s="450"/>
      <c r="GVT105" s="450"/>
      <c r="GVU105" s="450"/>
      <c r="GVV105" s="450"/>
      <c r="GVW105" s="450"/>
      <c r="GVX105" s="450"/>
      <c r="GVY105" s="450"/>
      <c r="GVZ105" s="450"/>
      <c r="GWA105" s="450"/>
      <c r="GWB105" s="450"/>
      <c r="GWC105" s="450"/>
      <c r="GWD105" s="450"/>
      <c r="GWE105" s="450"/>
      <c r="GWF105" s="450"/>
      <c r="GWG105" s="450"/>
      <c r="GWH105" s="450"/>
      <c r="GWI105" s="450"/>
      <c r="GWJ105" s="450"/>
      <c r="GWK105" s="450"/>
      <c r="GWL105" s="450"/>
      <c r="GWM105" s="450"/>
      <c r="GWN105" s="450"/>
      <c r="GWO105" s="450"/>
      <c r="GWP105" s="450"/>
      <c r="GWQ105" s="450"/>
      <c r="GWR105" s="450"/>
      <c r="GWS105" s="450"/>
      <c r="GWT105" s="450"/>
      <c r="GWU105" s="450"/>
      <c r="GWV105" s="450"/>
      <c r="GWW105" s="450"/>
      <c r="GWX105" s="450"/>
      <c r="GWY105" s="450"/>
      <c r="GWZ105" s="450"/>
      <c r="GXA105" s="450"/>
      <c r="GXB105" s="450"/>
      <c r="GXC105" s="450"/>
      <c r="GXD105" s="450"/>
      <c r="GXE105" s="450"/>
      <c r="GXF105" s="450"/>
      <c r="GXG105" s="450"/>
      <c r="GXH105" s="450"/>
      <c r="GXI105" s="450"/>
      <c r="GXJ105" s="450"/>
      <c r="GXK105" s="450"/>
      <c r="GXL105" s="450"/>
      <c r="GXM105" s="450"/>
      <c r="GXN105" s="450"/>
      <c r="GXO105" s="450"/>
      <c r="GXP105" s="450"/>
      <c r="GXQ105" s="450"/>
      <c r="GXR105" s="450"/>
      <c r="GXS105" s="450"/>
      <c r="GXT105" s="450"/>
      <c r="GXU105" s="450"/>
      <c r="GXV105" s="450"/>
      <c r="GXW105" s="450"/>
      <c r="GXX105" s="450"/>
      <c r="GXY105" s="450"/>
      <c r="GXZ105" s="450"/>
      <c r="GYA105" s="450"/>
      <c r="GYB105" s="450"/>
      <c r="GYC105" s="450"/>
      <c r="GYD105" s="450"/>
      <c r="GYE105" s="450"/>
      <c r="GYF105" s="450"/>
      <c r="GYG105" s="450"/>
      <c r="GYH105" s="450"/>
      <c r="GYI105" s="450"/>
      <c r="GYJ105" s="450"/>
      <c r="GYK105" s="450"/>
      <c r="GYL105" s="450"/>
      <c r="GYM105" s="450"/>
      <c r="GYN105" s="450"/>
      <c r="GYO105" s="450"/>
      <c r="GYP105" s="450"/>
      <c r="GYQ105" s="450"/>
      <c r="GYR105" s="450"/>
      <c r="GYS105" s="450"/>
      <c r="GYT105" s="450"/>
      <c r="GYU105" s="450"/>
      <c r="GYV105" s="450"/>
      <c r="GYW105" s="450"/>
      <c r="GYX105" s="450"/>
      <c r="GYY105" s="450"/>
      <c r="GYZ105" s="450"/>
      <c r="GZA105" s="450"/>
      <c r="GZB105" s="450"/>
      <c r="GZC105" s="450"/>
      <c r="GZD105" s="450"/>
      <c r="GZE105" s="450"/>
      <c r="GZF105" s="450"/>
      <c r="GZG105" s="450"/>
      <c r="GZH105" s="450"/>
      <c r="GZI105" s="450"/>
      <c r="GZJ105" s="450"/>
      <c r="GZK105" s="450"/>
      <c r="GZL105" s="450"/>
      <c r="GZM105" s="450"/>
      <c r="GZN105" s="450"/>
      <c r="GZO105" s="450"/>
      <c r="GZP105" s="450"/>
      <c r="GZQ105" s="450"/>
      <c r="GZR105" s="450"/>
      <c r="GZS105" s="450"/>
      <c r="GZT105" s="450"/>
      <c r="GZU105" s="450"/>
      <c r="GZV105" s="450"/>
      <c r="GZW105" s="450"/>
      <c r="GZX105" s="450"/>
      <c r="GZY105" s="450"/>
      <c r="GZZ105" s="450"/>
      <c r="HAA105" s="450"/>
      <c r="HAB105" s="450"/>
      <c r="HAC105" s="450"/>
      <c r="HAD105" s="450"/>
      <c r="HAE105" s="450"/>
      <c r="HAF105" s="450"/>
      <c r="HAG105" s="450"/>
      <c r="HAH105" s="450"/>
      <c r="HAI105" s="450"/>
      <c r="HAJ105" s="450"/>
      <c r="HAK105" s="450"/>
      <c r="HAL105" s="450"/>
      <c r="HAM105" s="450"/>
      <c r="HAN105" s="450"/>
      <c r="HAO105" s="450"/>
      <c r="HAP105" s="450"/>
      <c r="HAQ105" s="450"/>
      <c r="HAR105" s="450"/>
      <c r="HAS105" s="450"/>
      <c r="HAT105" s="450"/>
      <c r="HAU105" s="450"/>
      <c r="HAV105" s="450"/>
      <c r="HAW105" s="450"/>
      <c r="HAX105" s="450"/>
      <c r="HAY105" s="450"/>
      <c r="HAZ105" s="450"/>
      <c r="HBA105" s="450"/>
      <c r="HBB105" s="450"/>
      <c r="HBC105" s="450"/>
      <c r="HBD105" s="450"/>
      <c r="HBE105" s="450"/>
      <c r="HBF105" s="450"/>
      <c r="HBG105" s="450"/>
      <c r="HBH105" s="450"/>
      <c r="HBI105" s="450"/>
      <c r="HBJ105" s="450"/>
      <c r="HBK105" s="450"/>
      <c r="HBL105" s="450"/>
      <c r="HBM105" s="450"/>
      <c r="HBN105" s="450"/>
      <c r="HBO105" s="450"/>
      <c r="HBP105" s="450"/>
      <c r="HBQ105" s="450"/>
      <c r="HBR105" s="450"/>
      <c r="HBS105" s="450"/>
      <c r="HBT105" s="450"/>
      <c r="HBU105" s="450"/>
      <c r="HBV105" s="450"/>
      <c r="HBW105" s="450"/>
      <c r="HBX105" s="450"/>
      <c r="HBY105" s="450"/>
      <c r="HBZ105" s="450"/>
      <c r="HCA105" s="450"/>
      <c r="HCB105" s="450"/>
      <c r="HCC105" s="450"/>
      <c r="HCD105" s="450"/>
      <c r="HCE105" s="450"/>
      <c r="HCF105" s="450"/>
      <c r="HCG105" s="450"/>
      <c r="HCH105" s="450"/>
      <c r="HCI105" s="450"/>
      <c r="HCJ105" s="450"/>
      <c r="HCK105" s="450"/>
      <c r="HCL105" s="450"/>
      <c r="HCM105" s="450"/>
      <c r="HCN105" s="450"/>
      <c r="HCO105" s="450"/>
      <c r="HCP105" s="450"/>
      <c r="HCQ105" s="450"/>
      <c r="HCR105" s="450"/>
      <c r="HCS105" s="450"/>
      <c r="HCT105" s="450"/>
      <c r="HCU105" s="450"/>
      <c r="HCV105" s="450"/>
      <c r="HCW105" s="450"/>
      <c r="HCX105" s="450"/>
      <c r="HCY105" s="450"/>
      <c r="HCZ105" s="450"/>
      <c r="HDA105" s="450"/>
      <c r="HDB105" s="450"/>
      <c r="HDC105" s="450"/>
      <c r="HDD105" s="450"/>
      <c r="HDE105" s="450"/>
      <c r="HDF105" s="450"/>
      <c r="HDG105" s="450"/>
      <c r="HDH105" s="450"/>
      <c r="HDI105" s="450"/>
      <c r="HDJ105" s="450"/>
      <c r="HDK105" s="450"/>
      <c r="HDL105" s="450"/>
      <c r="HDM105" s="450"/>
      <c r="HDN105" s="450"/>
      <c r="HDO105" s="450"/>
      <c r="HDP105" s="450"/>
      <c r="HDQ105" s="450"/>
      <c r="HDR105" s="450"/>
      <c r="HDS105" s="450"/>
      <c r="HDT105" s="450"/>
      <c r="HDU105" s="450"/>
      <c r="HDV105" s="450"/>
      <c r="HDW105" s="450"/>
      <c r="HDX105" s="450"/>
      <c r="HDY105" s="450"/>
      <c r="HDZ105" s="450"/>
      <c r="HEA105" s="450"/>
      <c r="HEB105" s="450"/>
      <c r="HEC105" s="450"/>
      <c r="HED105" s="450"/>
      <c r="HEE105" s="450"/>
      <c r="HEF105" s="450"/>
      <c r="HEG105" s="450"/>
      <c r="HEH105" s="450"/>
      <c r="HEI105" s="450"/>
      <c r="HEJ105" s="450"/>
      <c r="HEK105" s="450"/>
      <c r="HEL105" s="450"/>
      <c r="HEM105" s="450"/>
      <c r="HEN105" s="450"/>
      <c r="HEO105" s="450"/>
      <c r="HEP105" s="450"/>
      <c r="HEQ105" s="450"/>
      <c r="HER105" s="450"/>
      <c r="HES105" s="450"/>
      <c r="HET105" s="450"/>
      <c r="HEU105" s="450"/>
      <c r="HEV105" s="450"/>
      <c r="HEW105" s="450"/>
      <c r="HEX105" s="450"/>
      <c r="HEY105" s="450"/>
      <c r="HEZ105" s="450"/>
      <c r="HFA105" s="450"/>
      <c r="HFB105" s="450"/>
      <c r="HFC105" s="450"/>
      <c r="HFD105" s="450"/>
      <c r="HFE105" s="450"/>
      <c r="HFF105" s="450"/>
      <c r="HFG105" s="450"/>
      <c r="HFH105" s="450"/>
      <c r="HFI105" s="450"/>
      <c r="HFJ105" s="450"/>
      <c r="HFK105" s="450"/>
      <c r="HFL105" s="450"/>
      <c r="HFM105" s="450"/>
      <c r="HFN105" s="450"/>
      <c r="HFO105" s="450"/>
      <c r="HFP105" s="450"/>
      <c r="HFQ105" s="450"/>
      <c r="HFR105" s="450"/>
      <c r="HFS105" s="450"/>
      <c r="HFT105" s="450"/>
      <c r="HFU105" s="450"/>
      <c r="HFV105" s="450"/>
      <c r="HFW105" s="450"/>
      <c r="HFX105" s="450"/>
      <c r="HFY105" s="450"/>
      <c r="HFZ105" s="450"/>
      <c r="HGA105" s="450"/>
      <c r="HGB105" s="450"/>
      <c r="HGC105" s="450"/>
      <c r="HGD105" s="450"/>
      <c r="HGE105" s="450"/>
      <c r="HGF105" s="450"/>
      <c r="HGG105" s="450"/>
      <c r="HGH105" s="450"/>
      <c r="HGI105" s="450"/>
      <c r="HGJ105" s="450"/>
      <c r="HGK105" s="450"/>
      <c r="HGL105" s="450"/>
      <c r="HGM105" s="450"/>
      <c r="HGN105" s="450"/>
      <c r="HGO105" s="450"/>
      <c r="HGP105" s="450"/>
      <c r="HGQ105" s="450"/>
      <c r="HGR105" s="450"/>
      <c r="HGS105" s="450"/>
      <c r="HGT105" s="450"/>
      <c r="HGU105" s="450"/>
      <c r="HGV105" s="450"/>
      <c r="HGW105" s="450"/>
      <c r="HGX105" s="450"/>
      <c r="HGY105" s="450"/>
      <c r="HGZ105" s="450"/>
      <c r="HHA105" s="450"/>
      <c r="HHB105" s="450"/>
      <c r="HHC105" s="450"/>
      <c r="HHD105" s="450"/>
      <c r="HHE105" s="450"/>
      <c r="HHF105" s="450"/>
      <c r="HHG105" s="450"/>
      <c r="HHH105" s="450"/>
      <c r="HHI105" s="450"/>
      <c r="HHJ105" s="450"/>
      <c r="HHK105" s="450"/>
      <c r="HHL105" s="450"/>
      <c r="HHM105" s="450"/>
      <c r="HHN105" s="450"/>
      <c r="HHO105" s="450"/>
      <c r="HHP105" s="450"/>
      <c r="HHQ105" s="450"/>
      <c r="HHR105" s="450"/>
      <c r="HHS105" s="450"/>
      <c r="HHT105" s="450"/>
      <c r="HHU105" s="450"/>
      <c r="HHV105" s="450"/>
      <c r="HHW105" s="450"/>
      <c r="HHX105" s="450"/>
      <c r="HHY105" s="450"/>
      <c r="HHZ105" s="450"/>
      <c r="HIA105" s="450"/>
      <c r="HIB105" s="450"/>
      <c r="HIC105" s="450"/>
      <c r="HID105" s="450"/>
      <c r="HIE105" s="450"/>
      <c r="HIF105" s="450"/>
      <c r="HIG105" s="450"/>
      <c r="HIH105" s="450"/>
      <c r="HII105" s="450"/>
      <c r="HIJ105" s="450"/>
      <c r="HIK105" s="450"/>
      <c r="HIL105" s="450"/>
      <c r="HIM105" s="450"/>
      <c r="HIN105" s="450"/>
      <c r="HIO105" s="450"/>
      <c r="HIP105" s="450"/>
      <c r="HIQ105" s="450"/>
      <c r="HIR105" s="450"/>
      <c r="HIS105" s="450"/>
      <c r="HIT105" s="450"/>
      <c r="HIU105" s="450"/>
      <c r="HIV105" s="450"/>
      <c r="HIW105" s="450"/>
      <c r="HIX105" s="450"/>
      <c r="HIY105" s="450"/>
      <c r="HIZ105" s="450"/>
      <c r="HJA105" s="450"/>
      <c r="HJB105" s="450"/>
      <c r="HJC105" s="450"/>
      <c r="HJD105" s="450"/>
      <c r="HJE105" s="450"/>
      <c r="HJF105" s="450"/>
      <c r="HJG105" s="450"/>
      <c r="HJH105" s="450"/>
      <c r="HJI105" s="450"/>
      <c r="HJJ105" s="450"/>
      <c r="HJK105" s="450"/>
      <c r="HJL105" s="450"/>
      <c r="HJM105" s="450"/>
      <c r="HJN105" s="450"/>
      <c r="HJO105" s="450"/>
      <c r="HJP105" s="450"/>
      <c r="HJQ105" s="450"/>
      <c r="HJR105" s="450"/>
      <c r="HJS105" s="450"/>
      <c r="HJT105" s="450"/>
      <c r="HJU105" s="450"/>
      <c r="HJV105" s="450"/>
      <c r="HJW105" s="450"/>
      <c r="HJX105" s="450"/>
      <c r="HJY105" s="450"/>
      <c r="HJZ105" s="450"/>
      <c r="HKA105" s="450"/>
      <c r="HKB105" s="450"/>
      <c r="HKC105" s="450"/>
      <c r="HKD105" s="450"/>
      <c r="HKE105" s="450"/>
      <c r="HKF105" s="450"/>
      <c r="HKG105" s="450"/>
      <c r="HKH105" s="450"/>
      <c r="HKI105" s="450"/>
      <c r="HKJ105" s="450"/>
      <c r="HKK105" s="450"/>
      <c r="HKL105" s="450"/>
      <c r="HKM105" s="450"/>
      <c r="HKN105" s="450"/>
      <c r="HKO105" s="450"/>
      <c r="HKP105" s="450"/>
      <c r="HKQ105" s="450"/>
      <c r="HKR105" s="450"/>
      <c r="HKS105" s="450"/>
      <c r="HKT105" s="450"/>
      <c r="HKU105" s="450"/>
      <c r="HKV105" s="450"/>
      <c r="HKW105" s="450"/>
      <c r="HKX105" s="450"/>
      <c r="HKY105" s="450"/>
      <c r="HKZ105" s="450"/>
      <c r="HLA105" s="450"/>
      <c r="HLB105" s="450"/>
      <c r="HLC105" s="450"/>
      <c r="HLD105" s="450"/>
      <c r="HLE105" s="450"/>
      <c r="HLF105" s="450"/>
      <c r="HLG105" s="450"/>
      <c r="HLH105" s="450"/>
      <c r="HLI105" s="450"/>
      <c r="HLJ105" s="450"/>
      <c r="HLK105" s="450"/>
      <c r="HLL105" s="450"/>
      <c r="HLM105" s="450"/>
      <c r="HLN105" s="450"/>
      <c r="HLO105" s="450"/>
      <c r="HLP105" s="450"/>
      <c r="HLQ105" s="450"/>
      <c r="HLR105" s="450"/>
      <c r="HLS105" s="450"/>
      <c r="HLT105" s="450"/>
      <c r="HLU105" s="450"/>
      <c r="HLV105" s="450"/>
      <c r="HLW105" s="450"/>
      <c r="HLX105" s="450"/>
      <c r="HLY105" s="450"/>
      <c r="HLZ105" s="450"/>
      <c r="HMA105" s="450"/>
      <c r="HMB105" s="450"/>
      <c r="HMC105" s="450"/>
      <c r="HMD105" s="450"/>
      <c r="HME105" s="450"/>
      <c r="HMF105" s="450"/>
      <c r="HMG105" s="450"/>
      <c r="HMH105" s="450"/>
      <c r="HMI105" s="450"/>
      <c r="HMJ105" s="450"/>
      <c r="HMK105" s="450"/>
      <c r="HML105" s="450"/>
      <c r="HMM105" s="450"/>
      <c r="HMN105" s="450"/>
      <c r="HMO105" s="450"/>
      <c r="HMP105" s="450"/>
      <c r="HMQ105" s="450"/>
      <c r="HMR105" s="450"/>
      <c r="HMS105" s="450"/>
      <c r="HMT105" s="450"/>
      <c r="HMU105" s="450"/>
      <c r="HMV105" s="450"/>
      <c r="HMW105" s="450"/>
      <c r="HMX105" s="450"/>
      <c r="HMY105" s="450"/>
      <c r="HMZ105" s="450"/>
      <c r="HNA105" s="450"/>
      <c r="HNB105" s="450"/>
      <c r="HNC105" s="450"/>
      <c r="HND105" s="450"/>
      <c r="HNE105" s="450"/>
      <c r="HNF105" s="450"/>
      <c r="HNG105" s="450"/>
      <c r="HNH105" s="450"/>
      <c r="HNI105" s="450"/>
      <c r="HNJ105" s="450"/>
      <c r="HNK105" s="450"/>
      <c r="HNL105" s="450"/>
      <c r="HNM105" s="450"/>
      <c r="HNN105" s="450"/>
      <c r="HNO105" s="450"/>
      <c r="HNP105" s="450"/>
      <c r="HNQ105" s="450"/>
      <c r="HNR105" s="450"/>
      <c r="HNS105" s="450"/>
      <c r="HNT105" s="450"/>
      <c r="HNU105" s="450"/>
      <c r="HNV105" s="450"/>
      <c r="HNW105" s="450"/>
      <c r="HNX105" s="450"/>
      <c r="HNY105" s="450"/>
      <c r="HNZ105" s="450"/>
      <c r="HOA105" s="450"/>
      <c r="HOB105" s="450"/>
      <c r="HOC105" s="450"/>
      <c r="HOD105" s="450"/>
      <c r="HOE105" s="450"/>
      <c r="HOF105" s="450"/>
      <c r="HOG105" s="450"/>
      <c r="HOH105" s="450"/>
      <c r="HOI105" s="450"/>
      <c r="HOJ105" s="450"/>
      <c r="HOK105" s="450"/>
      <c r="HOL105" s="450"/>
      <c r="HOM105" s="450"/>
      <c r="HON105" s="450"/>
      <c r="HOO105" s="450"/>
      <c r="HOP105" s="450"/>
      <c r="HOQ105" s="450"/>
      <c r="HOR105" s="450"/>
      <c r="HOS105" s="450"/>
      <c r="HOT105" s="450"/>
      <c r="HOU105" s="450"/>
      <c r="HOV105" s="450"/>
      <c r="HOW105" s="450"/>
      <c r="HOX105" s="450"/>
      <c r="HOY105" s="450"/>
      <c r="HOZ105" s="450"/>
      <c r="HPA105" s="450"/>
      <c r="HPB105" s="450"/>
      <c r="HPC105" s="450"/>
      <c r="HPD105" s="450"/>
      <c r="HPE105" s="450"/>
      <c r="HPF105" s="450"/>
      <c r="HPG105" s="450"/>
      <c r="HPH105" s="450"/>
      <c r="HPI105" s="450"/>
      <c r="HPJ105" s="450"/>
      <c r="HPK105" s="450"/>
      <c r="HPL105" s="450"/>
      <c r="HPM105" s="450"/>
      <c r="HPN105" s="450"/>
      <c r="HPO105" s="450"/>
      <c r="HPP105" s="450"/>
      <c r="HPQ105" s="450"/>
      <c r="HPR105" s="450"/>
      <c r="HPS105" s="450"/>
      <c r="HPT105" s="450"/>
      <c r="HPU105" s="450"/>
      <c r="HPV105" s="450"/>
      <c r="HPW105" s="450"/>
      <c r="HPX105" s="450"/>
      <c r="HPY105" s="450"/>
      <c r="HPZ105" s="450"/>
      <c r="HQA105" s="450"/>
      <c r="HQB105" s="450"/>
      <c r="HQC105" s="450"/>
      <c r="HQD105" s="450"/>
      <c r="HQE105" s="450"/>
      <c r="HQF105" s="450"/>
      <c r="HQG105" s="450"/>
      <c r="HQH105" s="450"/>
      <c r="HQI105" s="450"/>
      <c r="HQJ105" s="450"/>
      <c r="HQK105" s="450"/>
      <c r="HQL105" s="450"/>
      <c r="HQM105" s="450"/>
      <c r="HQN105" s="450"/>
      <c r="HQO105" s="450"/>
      <c r="HQP105" s="450"/>
      <c r="HQQ105" s="450"/>
      <c r="HQR105" s="450"/>
      <c r="HQS105" s="450"/>
      <c r="HQT105" s="450"/>
      <c r="HQU105" s="450"/>
      <c r="HQV105" s="450"/>
      <c r="HQW105" s="450"/>
      <c r="HQX105" s="450"/>
      <c r="HQY105" s="450"/>
      <c r="HQZ105" s="450"/>
      <c r="HRA105" s="450"/>
      <c r="HRB105" s="450"/>
      <c r="HRC105" s="450"/>
      <c r="HRD105" s="450"/>
      <c r="HRE105" s="450"/>
      <c r="HRF105" s="450"/>
      <c r="HRG105" s="450"/>
      <c r="HRH105" s="450"/>
      <c r="HRI105" s="450"/>
      <c r="HRJ105" s="450"/>
      <c r="HRK105" s="450"/>
      <c r="HRL105" s="450"/>
      <c r="HRM105" s="450"/>
      <c r="HRN105" s="450"/>
      <c r="HRO105" s="450"/>
      <c r="HRP105" s="450"/>
      <c r="HRQ105" s="450"/>
      <c r="HRR105" s="450"/>
      <c r="HRS105" s="450"/>
      <c r="HRT105" s="450"/>
      <c r="HRU105" s="450"/>
      <c r="HRV105" s="450"/>
      <c r="HRW105" s="450"/>
      <c r="HRX105" s="450"/>
      <c r="HRY105" s="450"/>
      <c r="HRZ105" s="450"/>
      <c r="HSA105" s="450"/>
      <c r="HSB105" s="450"/>
      <c r="HSC105" s="450"/>
      <c r="HSD105" s="450"/>
      <c r="HSE105" s="450"/>
      <c r="HSF105" s="450"/>
      <c r="HSG105" s="450"/>
      <c r="HSH105" s="450"/>
      <c r="HSI105" s="450"/>
      <c r="HSJ105" s="450"/>
      <c r="HSK105" s="450"/>
      <c r="HSL105" s="450"/>
      <c r="HSM105" s="450"/>
      <c r="HSN105" s="450"/>
      <c r="HSO105" s="450"/>
      <c r="HSP105" s="450"/>
      <c r="HSQ105" s="450"/>
      <c r="HSR105" s="450"/>
      <c r="HSS105" s="450"/>
      <c r="HST105" s="450"/>
      <c r="HSU105" s="450"/>
      <c r="HSV105" s="450"/>
      <c r="HSW105" s="450"/>
      <c r="HSX105" s="450"/>
      <c r="HSY105" s="450"/>
      <c r="HSZ105" s="450"/>
      <c r="HTA105" s="450"/>
      <c r="HTB105" s="450"/>
      <c r="HTC105" s="450"/>
      <c r="HTD105" s="450"/>
      <c r="HTE105" s="450"/>
      <c r="HTF105" s="450"/>
      <c r="HTG105" s="450"/>
      <c r="HTH105" s="450"/>
      <c r="HTI105" s="450"/>
      <c r="HTJ105" s="450"/>
      <c r="HTK105" s="450"/>
      <c r="HTL105" s="450"/>
      <c r="HTM105" s="450"/>
      <c r="HTN105" s="450"/>
      <c r="HTO105" s="450"/>
      <c r="HTP105" s="450"/>
      <c r="HTQ105" s="450"/>
      <c r="HTR105" s="450"/>
      <c r="HTS105" s="450"/>
      <c r="HTT105" s="450"/>
      <c r="HTU105" s="450"/>
      <c r="HTV105" s="450"/>
      <c r="HTW105" s="450"/>
      <c r="HTX105" s="450"/>
      <c r="HTY105" s="450"/>
      <c r="HTZ105" s="450"/>
      <c r="HUA105" s="450"/>
      <c r="HUB105" s="450"/>
      <c r="HUC105" s="450"/>
      <c r="HUD105" s="450"/>
      <c r="HUE105" s="450"/>
      <c r="HUF105" s="450"/>
      <c r="HUG105" s="450"/>
      <c r="HUH105" s="450"/>
      <c r="HUI105" s="450"/>
      <c r="HUJ105" s="450"/>
      <c r="HUK105" s="450"/>
      <c r="HUL105" s="450"/>
      <c r="HUM105" s="450"/>
      <c r="HUN105" s="450"/>
      <c r="HUO105" s="450"/>
      <c r="HUP105" s="450"/>
      <c r="HUQ105" s="450"/>
      <c r="HUR105" s="450"/>
      <c r="HUS105" s="450"/>
      <c r="HUT105" s="450"/>
      <c r="HUU105" s="450"/>
      <c r="HUV105" s="450"/>
      <c r="HUW105" s="450"/>
      <c r="HUX105" s="450"/>
      <c r="HUY105" s="450"/>
      <c r="HUZ105" s="450"/>
      <c r="HVA105" s="450"/>
      <c r="HVB105" s="450"/>
      <c r="HVC105" s="450"/>
      <c r="HVD105" s="450"/>
      <c r="HVE105" s="450"/>
      <c r="HVF105" s="450"/>
      <c r="HVG105" s="450"/>
      <c r="HVH105" s="450"/>
      <c r="HVI105" s="450"/>
      <c r="HVJ105" s="450"/>
      <c r="HVK105" s="450"/>
      <c r="HVL105" s="450"/>
      <c r="HVM105" s="450"/>
      <c r="HVN105" s="450"/>
      <c r="HVO105" s="450"/>
      <c r="HVP105" s="450"/>
      <c r="HVQ105" s="450"/>
      <c r="HVR105" s="450"/>
      <c r="HVS105" s="450"/>
      <c r="HVT105" s="450"/>
      <c r="HVU105" s="450"/>
      <c r="HVV105" s="450"/>
      <c r="HVW105" s="450"/>
      <c r="HVX105" s="450"/>
      <c r="HVY105" s="450"/>
      <c r="HVZ105" s="450"/>
      <c r="HWA105" s="450"/>
      <c r="HWB105" s="450"/>
      <c r="HWC105" s="450"/>
      <c r="HWD105" s="450"/>
      <c r="HWE105" s="450"/>
      <c r="HWF105" s="450"/>
      <c r="HWG105" s="450"/>
      <c r="HWH105" s="450"/>
      <c r="HWI105" s="450"/>
      <c r="HWJ105" s="450"/>
      <c r="HWK105" s="450"/>
      <c r="HWL105" s="450"/>
      <c r="HWM105" s="450"/>
      <c r="HWN105" s="450"/>
      <c r="HWO105" s="450"/>
      <c r="HWP105" s="450"/>
      <c r="HWQ105" s="450"/>
      <c r="HWR105" s="450"/>
      <c r="HWS105" s="450"/>
      <c r="HWT105" s="450"/>
      <c r="HWU105" s="450"/>
      <c r="HWV105" s="450"/>
      <c r="HWW105" s="450"/>
      <c r="HWX105" s="450"/>
      <c r="HWY105" s="450"/>
      <c r="HWZ105" s="450"/>
      <c r="HXA105" s="450"/>
      <c r="HXB105" s="450"/>
      <c r="HXC105" s="450"/>
      <c r="HXD105" s="450"/>
      <c r="HXE105" s="450"/>
      <c r="HXF105" s="450"/>
      <c r="HXG105" s="450"/>
      <c r="HXH105" s="450"/>
      <c r="HXI105" s="450"/>
      <c r="HXJ105" s="450"/>
      <c r="HXK105" s="450"/>
      <c r="HXL105" s="450"/>
      <c r="HXM105" s="450"/>
      <c r="HXN105" s="450"/>
      <c r="HXO105" s="450"/>
      <c r="HXP105" s="450"/>
      <c r="HXQ105" s="450"/>
      <c r="HXR105" s="450"/>
      <c r="HXS105" s="450"/>
      <c r="HXT105" s="450"/>
      <c r="HXU105" s="450"/>
      <c r="HXV105" s="450"/>
      <c r="HXW105" s="450"/>
      <c r="HXX105" s="450"/>
      <c r="HXY105" s="450"/>
      <c r="HXZ105" s="450"/>
      <c r="HYA105" s="450"/>
      <c r="HYB105" s="450"/>
      <c r="HYC105" s="450"/>
      <c r="HYD105" s="450"/>
      <c r="HYE105" s="450"/>
      <c r="HYF105" s="450"/>
      <c r="HYG105" s="450"/>
      <c r="HYH105" s="450"/>
      <c r="HYI105" s="450"/>
      <c r="HYJ105" s="450"/>
      <c r="HYK105" s="450"/>
      <c r="HYL105" s="450"/>
      <c r="HYM105" s="450"/>
      <c r="HYN105" s="450"/>
      <c r="HYO105" s="450"/>
      <c r="HYP105" s="450"/>
      <c r="HYQ105" s="450"/>
      <c r="HYR105" s="450"/>
      <c r="HYS105" s="450"/>
      <c r="HYT105" s="450"/>
      <c r="HYU105" s="450"/>
      <c r="HYV105" s="450"/>
      <c r="HYW105" s="450"/>
      <c r="HYX105" s="450"/>
      <c r="HYY105" s="450"/>
      <c r="HYZ105" s="450"/>
      <c r="HZA105" s="450"/>
      <c r="HZB105" s="450"/>
      <c r="HZC105" s="450"/>
      <c r="HZD105" s="450"/>
      <c r="HZE105" s="450"/>
      <c r="HZF105" s="450"/>
      <c r="HZG105" s="450"/>
      <c r="HZH105" s="450"/>
      <c r="HZI105" s="450"/>
      <c r="HZJ105" s="450"/>
      <c r="HZK105" s="450"/>
      <c r="HZL105" s="450"/>
      <c r="HZM105" s="450"/>
      <c r="HZN105" s="450"/>
      <c r="HZO105" s="450"/>
      <c r="HZP105" s="450"/>
      <c r="HZQ105" s="450"/>
      <c r="HZR105" s="450"/>
      <c r="HZS105" s="450"/>
      <c r="HZT105" s="450"/>
      <c r="HZU105" s="450"/>
      <c r="HZV105" s="450"/>
      <c r="HZW105" s="450"/>
      <c r="HZX105" s="450"/>
      <c r="HZY105" s="450"/>
      <c r="HZZ105" s="450"/>
      <c r="IAA105" s="450"/>
      <c r="IAB105" s="450"/>
      <c r="IAC105" s="450"/>
      <c r="IAD105" s="450"/>
      <c r="IAE105" s="450"/>
      <c r="IAF105" s="450"/>
      <c r="IAG105" s="450"/>
      <c r="IAH105" s="450"/>
      <c r="IAI105" s="450"/>
      <c r="IAJ105" s="450"/>
      <c r="IAK105" s="450"/>
      <c r="IAL105" s="450"/>
      <c r="IAM105" s="450"/>
      <c r="IAN105" s="450"/>
      <c r="IAO105" s="450"/>
      <c r="IAP105" s="450"/>
      <c r="IAQ105" s="450"/>
      <c r="IAR105" s="450"/>
      <c r="IAS105" s="450"/>
      <c r="IAT105" s="450"/>
      <c r="IAU105" s="450"/>
      <c r="IAV105" s="450"/>
      <c r="IAW105" s="450"/>
      <c r="IAX105" s="450"/>
      <c r="IAY105" s="450"/>
      <c r="IAZ105" s="450"/>
      <c r="IBA105" s="450"/>
      <c r="IBB105" s="450"/>
      <c r="IBC105" s="450"/>
      <c r="IBD105" s="450"/>
      <c r="IBE105" s="450"/>
      <c r="IBF105" s="450"/>
      <c r="IBG105" s="450"/>
      <c r="IBH105" s="450"/>
      <c r="IBI105" s="450"/>
      <c r="IBJ105" s="450"/>
      <c r="IBK105" s="450"/>
      <c r="IBL105" s="450"/>
      <c r="IBM105" s="450"/>
      <c r="IBN105" s="450"/>
      <c r="IBO105" s="450"/>
      <c r="IBP105" s="450"/>
      <c r="IBQ105" s="450"/>
      <c r="IBR105" s="450"/>
      <c r="IBS105" s="450"/>
      <c r="IBT105" s="450"/>
      <c r="IBU105" s="450"/>
      <c r="IBV105" s="450"/>
      <c r="IBW105" s="450"/>
      <c r="IBX105" s="450"/>
      <c r="IBY105" s="450"/>
      <c r="IBZ105" s="450"/>
      <c r="ICA105" s="450"/>
      <c r="ICB105" s="450"/>
      <c r="ICC105" s="450"/>
      <c r="ICD105" s="450"/>
      <c r="ICE105" s="450"/>
      <c r="ICF105" s="450"/>
      <c r="ICG105" s="450"/>
      <c r="ICH105" s="450"/>
      <c r="ICI105" s="450"/>
      <c r="ICJ105" s="450"/>
      <c r="ICK105" s="450"/>
      <c r="ICL105" s="450"/>
      <c r="ICM105" s="450"/>
      <c r="ICN105" s="450"/>
      <c r="ICO105" s="450"/>
      <c r="ICP105" s="450"/>
      <c r="ICQ105" s="450"/>
      <c r="ICR105" s="450"/>
      <c r="ICS105" s="450"/>
      <c r="ICT105" s="450"/>
      <c r="ICU105" s="450"/>
      <c r="ICV105" s="450"/>
      <c r="ICW105" s="450"/>
      <c r="ICX105" s="450"/>
      <c r="ICY105" s="450"/>
      <c r="ICZ105" s="450"/>
      <c r="IDA105" s="450"/>
      <c r="IDB105" s="450"/>
      <c r="IDC105" s="450"/>
      <c r="IDD105" s="450"/>
      <c r="IDE105" s="450"/>
      <c r="IDF105" s="450"/>
      <c r="IDG105" s="450"/>
      <c r="IDH105" s="450"/>
      <c r="IDI105" s="450"/>
      <c r="IDJ105" s="450"/>
      <c r="IDK105" s="450"/>
      <c r="IDL105" s="450"/>
      <c r="IDM105" s="450"/>
      <c r="IDN105" s="450"/>
      <c r="IDO105" s="450"/>
      <c r="IDP105" s="450"/>
      <c r="IDQ105" s="450"/>
      <c r="IDR105" s="450"/>
      <c r="IDS105" s="450"/>
      <c r="IDT105" s="450"/>
      <c r="IDU105" s="450"/>
      <c r="IDV105" s="450"/>
      <c r="IDW105" s="450"/>
      <c r="IDX105" s="450"/>
      <c r="IDY105" s="450"/>
      <c r="IDZ105" s="450"/>
      <c r="IEA105" s="450"/>
      <c r="IEB105" s="450"/>
      <c r="IEC105" s="450"/>
      <c r="IED105" s="450"/>
      <c r="IEE105" s="450"/>
      <c r="IEF105" s="450"/>
      <c r="IEG105" s="450"/>
      <c r="IEH105" s="450"/>
      <c r="IEI105" s="450"/>
      <c r="IEJ105" s="450"/>
      <c r="IEK105" s="450"/>
      <c r="IEL105" s="450"/>
      <c r="IEM105" s="450"/>
      <c r="IEN105" s="450"/>
      <c r="IEO105" s="450"/>
      <c r="IEP105" s="450"/>
      <c r="IEQ105" s="450"/>
      <c r="IER105" s="450"/>
      <c r="IES105" s="450"/>
      <c r="IET105" s="450"/>
      <c r="IEU105" s="450"/>
      <c r="IEV105" s="450"/>
      <c r="IEW105" s="450"/>
      <c r="IEX105" s="450"/>
      <c r="IEY105" s="450"/>
      <c r="IEZ105" s="450"/>
      <c r="IFA105" s="450"/>
      <c r="IFB105" s="450"/>
      <c r="IFC105" s="450"/>
      <c r="IFD105" s="450"/>
      <c r="IFE105" s="450"/>
      <c r="IFF105" s="450"/>
      <c r="IFG105" s="450"/>
      <c r="IFH105" s="450"/>
      <c r="IFI105" s="450"/>
      <c r="IFJ105" s="450"/>
      <c r="IFK105" s="450"/>
      <c r="IFL105" s="450"/>
      <c r="IFM105" s="450"/>
      <c r="IFN105" s="450"/>
      <c r="IFO105" s="450"/>
      <c r="IFP105" s="450"/>
      <c r="IFQ105" s="450"/>
      <c r="IFR105" s="450"/>
      <c r="IFS105" s="450"/>
      <c r="IFT105" s="450"/>
      <c r="IFU105" s="450"/>
      <c r="IFV105" s="450"/>
      <c r="IFW105" s="450"/>
      <c r="IFX105" s="450"/>
      <c r="IFY105" s="450"/>
      <c r="IFZ105" s="450"/>
      <c r="IGA105" s="450"/>
      <c r="IGB105" s="450"/>
      <c r="IGC105" s="450"/>
      <c r="IGD105" s="450"/>
      <c r="IGE105" s="450"/>
      <c r="IGF105" s="450"/>
      <c r="IGG105" s="450"/>
      <c r="IGH105" s="450"/>
      <c r="IGI105" s="450"/>
      <c r="IGJ105" s="450"/>
      <c r="IGK105" s="450"/>
      <c r="IGL105" s="450"/>
      <c r="IGM105" s="450"/>
      <c r="IGN105" s="450"/>
      <c r="IGO105" s="450"/>
      <c r="IGP105" s="450"/>
      <c r="IGQ105" s="450"/>
      <c r="IGR105" s="450"/>
      <c r="IGS105" s="450"/>
      <c r="IGT105" s="450"/>
      <c r="IGU105" s="450"/>
      <c r="IGV105" s="450"/>
      <c r="IGW105" s="450"/>
      <c r="IGX105" s="450"/>
      <c r="IGY105" s="450"/>
      <c r="IGZ105" s="450"/>
      <c r="IHA105" s="450"/>
      <c r="IHB105" s="450"/>
      <c r="IHC105" s="450"/>
      <c r="IHD105" s="450"/>
      <c r="IHE105" s="450"/>
      <c r="IHF105" s="450"/>
      <c r="IHG105" s="450"/>
      <c r="IHH105" s="450"/>
      <c r="IHI105" s="450"/>
      <c r="IHJ105" s="450"/>
      <c r="IHK105" s="450"/>
      <c r="IHL105" s="450"/>
      <c r="IHM105" s="450"/>
      <c r="IHN105" s="450"/>
      <c r="IHO105" s="450"/>
      <c r="IHP105" s="450"/>
      <c r="IHQ105" s="450"/>
      <c r="IHR105" s="450"/>
      <c r="IHS105" s="450"/>
      <c r="IHT105" s="450"/>
      <c r="IHU105" s="450"/>
      <c r="IHV105" s="450"/>
      <c r="IHW105" s="450"/>
      <c r="IHX105" s="450"/>
      <c r="IHY105" s="450"/>
      <c r="IHZ105" s="450"/>
      <c r="IIA105" s="450"/>
      <c r="IIB105" s="450"/>
      <c r="IIC105" s="450"/>
      <c r="IID105" s="450"/>
      <c r="IIE105" s="450"/>
      <c r="IIF105" s="450"/>
      <c r="IIG105" s="450"/>
      <c r="IIH105" s="450"/>
      <c r="III105" s="450"/>
      <c r="IIJ105" s="450"/>
      <c r="IIK105" s="450"/>
      <c r="IIL105" s="450"/>
      <c r="IIM105" s="450"/>
      <c r="IIN105" s="450"/>
      <c r="IIO105" s="450"/>
      <c r="IIP105" s="450"/>
      <c r="IIQ105" s="450"/>
      <c r="IIR105" s="450"/>
      <c r="IIS105" s="450"/>
      <c r="IIT105" s="450"/>
      <c r="IIU105" s="450"/>
      <c r="IIV105" s="450"/>
      <c r="IIW105" s="450"/>
      <c r="IIX105" s="450"/>
      <c r="IIY105" s="450"/>
      <c r="IIZ105" s="450"/>
      <c r="IJA105" s="450"/>
      <c r="IJB105" s="450"/>
      <c r="IJC105" s="450"/>
      <c r="IJD105" s="450"/>
      <c r="IJE105" s="450"/>
      <c r="IJF105" s="450"/>
      <c r="IJG105" s="450"/>
      <c r="IJH105" s="450"/>
      <c r="IJI105" s="450"/>
      <c r="IJJ105" s="450"/>
      <c r="IJK105" s="450"/>
      <c r="IJL105" s="450"/>
      <c r="IJM105" s="450"/>
      <c r="IJN105" s="450"/>
      <c r="IJO105" s="450"/>
      <c r="IJP105" s="450"/>
      <c r="IJQ105" s="450"/>
      <c r="IJR105" s="450"/>
      <c r="IJS105" s="450"/>
      <c r="IJT105" s="450"/>
      <c r="IJU105" s="450"/>
      <c r="IJV105" s="450"/>
      <c r="IJW105" s="450"/>
      <c r="IJX105" s="450"/>
      <c r="IJY105" s="450"/>
      <c r="IJZ105" s="450"/>
      <c r="IKA105" s="450"/>
      <c r="IKB105" s="450"/>
      <c r="IKC105" s="450"/>
      <c r="IKD105" s="450"/>
      <c r="IKE105" s="450"/>
      <c r="IKF105" s="450"/>
      <c r="IKG105" s="450"/>
      <c r="IKH105" s="450"/>
      <c r="IKI105" s="450"/>
      <c r="IKJ105" s="450"/>
      <c r="IKK105" s="450"/>
      <c r="IKL105" s="450"/>
      <c r="IKM105" s="450"/>
      <c r="IKN105" s="450"/>
      <c r="IKO105" s="450"/>
      <c r="IKP105" s="450"/>
      <c r="IKQ105" s="450"/>
      <c r="IKR105" s="450"/>
      <c r="IKS105" s="450"/>
      <c r="IKT105" s="450"/>
      <c r="IKU105" s="450"/>
      <c r="IKV105" s="450"/>
      <c r="IKW105" s="450"/>
      <c r="IKX105" s="450"/>
      <c r="IKY105" s="450"/>
      <c r="IKZ105" s="450"/>
      <c r="ILA105" s="450"/>
      <c r="ILB105" s="450"/>
      <c r="ILC105" s="450"/>
      <c r="ILD105" s="450"/>
      <c r="ILE105" s="450"/>
      <c r="ILF105" s="450"/>
      <c r="ILG105" s="450"/>
      <c r="ILH105" s="450"/>
      <c r="ILI105" s="450"/>
      <c r="ILJ105" s="450"/>
      <c r="ILK105" s="450"/>
      <c r="ILL105" s="450"/>
      <c r="ILM105" s="450"/>
      <c r="ILN105" s="450"/>
      <c r="ILO105" s="450"/>
      <c r="ILP105" s="450"/>
      <c r="ILQ105" s="450"/>
      <c r="ILR105" s="450"/>
      <c r="ILS105" s="450"/>
      <c r="ILT105" s="450"/>
      <c r="ILU105" s="450"/>
      <c r="ILV105" s="450"/>
      <c r="ILW105" s="450"/>
      <c r="ILX105" s="450"/>
      <c r="ILY105" s="450"/>
      <c r="ILZ105" s="450"/>
      <c r="IMA105" s="450"/>
      <c r="IMB105" s="450"/>
      <c r="IMC105" s="450"/>
      <c r="IMD105" s="450"/>
      <c r="IME105" s="450"/>
      <c r="IMF105" s="450"/>
      <c r="IMG105" s="450"/>
      <c r="IMH105" s="450"/>
      <c r="IMI105" s="450"/>
      <c r="IMJ105" s="450"/>
      <c r="IMK105" s="450"/>
      <c r="IML105" s="450"/>
      <c r="IMM105" s="450"/>
      <c r="IMN105" s="450"/>
      <c r="IMO105" s="450"/>
      <c r="IMP105" s="450"/>
      <c r="IMQ105" s="450"/>
      <c r="IMR105" s="450"/>
      <c r="IMS105" s="450"/>
      <c r="IMT105" s="450"/>
      <c r="IMU105" s="450"/>
      <c r="IMV105" s="450"/>
      <c r="IMW105" s="450"/>
      <c r="IMX105" s="450"/>
      <c r="IMY105" s="450"/>
      <c r="IMZ105" s="450"/>
      <c r="INA105" s="450"/>
      <c r="INB105" s="450"/>
      <c r="INC105" s="450"/>
      <c r="IND105" s="450"/>
      <c r="INE105" s="450"/>
      <c r="INF105" s="450"/>
      <c r="ING105" s="450"/>
      <c r="INH105" s="450"/>
      <c r="INI105" s="450"/>
      <c r="INJ105" s="450"/>
      <c r="INK105" s="450"/>
      <c r="INL105" s="450"/>
      <c r="INM105" s="450"/>
      <c r="INN105" s="450"/>
      <c r="INO105" s="450"/>
      <c r="INP105" s="450"/>
      <c r="INQ105" s="450"/>
      <c r="INR105" s="450"/>
      <c r="INS105" s="450"/>
      <c r="INT105" s="450"/>
      <c r="INU105" s="450"/>
      <c r="INV105" s="450"/>
      <c r="INW105" s="450"/>
      <c r="INX105" s="450"/>
      <c r="INY105" s="450"/>
      <c r="INZ105" s="450"/>
      <c r="IOA105" s="450"/>
      <c r="IOB105" s="450"/>
      <c r="IOC105" s="450"/>
      <c r="IOD105" s="450"/>
      <c r="IOE105" s="450"/>
      <c r="IOF105" s="450"/>
      <c r="IOG105" s="450"/>
      <c r="IOH105" s="450"/>
      <c r="IOI105" s="450"/>
      <c r="IOJ105" s="450"/>
      <c r="IOK105" s="450"/>
      <c r="IOL105" s="450"/>
      <c r="IOM105" s="450"/>
      <c r="ION105" s="450"/>
      <c r="IOO105" s="450"/>
      <c r="IOP105" s="450"/>
      <c r="IOQ105" s="450"/>
      <c r="IOR105" s="450"/>
      <c r="IOS105" s="450"/>
      <c r="IOT105" s="450"/>
      <c r="IOU105" s="450"/>
      <c r="IOV105" s="450"/>
      <c r="IOW105" s="450"/>
      <c r="IOX105" s="450"/>
      <c r="IOY105" s="450"/>
      <c r="IOZ105" s="450"/>
      <c r="IPA105" s="450"/>
      <c r="IPB105" s="450"/>
      <c r="IPC105" s="450"/>
      <c r="IPD105" s="450"/>
      <c r="IPE105" s="450"/>
      <c r="IPF105" s="450"/>
      <c r="IPG105" s="450"/>
      <c r="IPH105" s="450"/>
      <c r="IPI105" s="450"/>
      <c r="IPJ105" s="450"/>
      <c r="IPK105" s="450"/>
      <c r="IPL105" s="450"/>
      <c r="IPM105" s="450"/>
      <c r="IPN105" s="450"/>
      <c r="IPO105" s="450"/>
      <c r="IPP105" s="450"/>
      <c r="IPQ105" s="450"/>
      <c r="IPR105" s="450"/>
      <c r="IPS105" s="450"/>
      <c r="IPT105" s="450"/>
      <c r="IPU105" s="450"/>
      <c r="IPV105" s="450"/>
      <c r="IPW105" s="450"/>
      <c r="IPX105" s="450"/>
      <c r="IPY105" s="450"/>
      <c r="IPZ105" s="450"/>
      <c r="IQA105" s="450"/>
      <c r="IQB105" s="450"/>
      <c r="IQC105" s="450"/>
      <c r="IQD105" s="450"/>
      <c r="IQE105" s="450"/>
      <c r="IQF105" s="450"/>
      <c r="IQG105" s="450"/>
      <c r="IQH105" s="450"/>
      <c r="IQI105" s="450"/>
      <c r="IQJ105" s="450"/>
      <c r="IQK105" s="450"/>
      <c r="IQL105" s="450"/>
      <c r="IQM105" s="450"/>
      <c r="IQN105" s="450"/>
      <c r="IQO105" s="450"/>
      <c r="IQP105" s="450"/>
      <c r="IQQ105" s="450"/>
      <c r="IQR105" s="450"/>
      <c r="IQS105" s="450"/>
      <c r="IQT105" s="450"/>
      <c r="IQU105" s="450"/>
      <c r="IQV105" s="450"/>
      <c r="IQW105" s="450"/>
      <c r="IQX105" s="450"/>
      <c r="IQY105" s="450"/>
      <c r="IQZ105" s="450"/>
      <c r="IRA105" s="450"/>
      <c r="IRB105" s="450"/>
      <c r="IRC105" s="450"/>
      <c r="IRD105" s="450"/>
      <c r="IRE105" s="450"/>
      <c r="IRF105" s="450"/>
      <c r="IRG105" s="450"/>
      <c r="IRH105" s="450"/>
      <c r="IRI105" s="450"/>
      <c r="IRJ105" s="450"/>
      <c r="IRK105" s="450"/>
      <c r="IRL105" s="450"/>
      <c r="IRM105" s="450"/>
      <c r="IRN105" s="450"/>
      <c r="IRO105" s="450"/>
      <c r="IRP105" s="450"/>
      <c r="IRQ105" s="450"/>
      <c r="IRR105" s="450"/>
      <c r="IRS105" s="450"/>
      <c r="IRT105" s="450"/>
      <c r="IRU105" s="450"/>
      <c r="IRV105" s="450"/>
      <c r="IRW105" s="450"/>
      <c r="IRX105" s="450"/>
      <c r="IRY105" s="450"/>
      <c r="IRZ105" s="450"/>
      <c r="ISA105" s="450"/>
      <c r="ISB105" s="450"/>
      <c r="ISC105" s="450"/>
      <c r="ISD105" s="450"/>
      <c r="ISE105" s="450"/>
      <c r="ISF105" s="450"/>
      <c r="ISG105" s="450"/>
      <c r="ISH105" s="450"/>
      <c r="ISI105" s="450"/>
      <c r="ISJ105" s="450"/>
      <c r="ISK105" s="450"/>
      <c r="ISL105" s="450"/>
      <c r="ISM105" s="450"/>
      <c r="ISN105" s="450"/>
      <c r="ISO105" s="450"/>
      <c r="ISP105" s="450"/>
      <c r="ISQ105" s="450"/>
      <c r="ISR105" s="450"/>
      <c r="ISS105" s="450"/>
      <c r="IST105" s="450"/>
      <c r="ISU105" s="450"/>
      <c r="ISV105" s="450"/>
      <c r="ISW105" s="450"/>
      <c r="ISX105" s="450"/>
      <c r="ISY105" s="450"/>
      <c r="ISZ105" s="450"/>
      <c r="ITA105" s="450"/>
      <c r="ITB105" s="450"/>
      <c r="ITC105" s="450"/>
      <c r="ITD105" s="450"/>
      <c r="ITE105" s="450"/>
      <c r="ITF105" s="450"/>
      <c r="ITG105" s="450"/>
      <c r="ITH105" s="450"/>
      <c r="ITI105" s="450"/>
      <c r="ITJ105" s="450"/>
      <c r="ITK105" s="450"/>
      <c r="ITL105" s="450"/>
      <c r="ITM105" s="450"/>
      <c r="ITN105" s="450"/>
      <c r="ITO105" s="450"/>
      <c r="ITP105" s="450"/>
      <c r="ITQ105" s="450"/>
      <c r="ITR105" s="450"/>
      <c r="ITS105" s="450"/>
      <c r="ITT105" s="450"/>
      <c r="ITU105" s="450"/>
      <c r="ITV105" s="450"/>
      <c r="ITW105" s="450"/>
      <c r="ITX105" s="450"/>
      <c r="ITY105" s="450"/>
      <c r="ITZ105" s="450"/>
      <c r="IUA105" s="450"/>
      <c r="IUB105" s="450"/>
      <c r="IUC105" s="450"/>
      <c r="IUD105" s="450"/>
      <c r="IUE105" s="450"/>
      <c r="IUF105" s="450"/>
      <c r="IUG105" s="450"/>
      <c r="IUH105" s="450"/>
      <c r="IUI105" s="450"/>
      <c r="IUJ105" s="450"/>
      <c r="IUK105" s="450"/>
      <c r="IUL105" s="450"/>
      <c r="IUM105" s="450"/>
      <c r="IUN105" s="450"/>
      <c r="IUO105" s="450"/>
      <c r="IUP105" s="450"/>
      <c r="IUQ105" s="450"/>
      <c r="IUR105" s="450"/>
      <c r="IUS105" s="450"/>
      <c r="IUT105" s="450"/>
      <c r="IUU105" s="450"/>
      <c r="IUV105" s="450"/>
      <c r="IUW105" s="450"/>
      <c r="IUX105" s="450"/>
      <c r="IUY105" s="450"/>
      <c r="IUZ105" s="450"/>
      <c r="IVA105" s="450"/>
      <c r="IVB105" s="450"/>
      <c r="IVC105" s="450"/>
      <c r="IVD105" s="450"/>
      <c r="IVE105" s="450"/>
      <c r="IVF105" s="450"/>
      <c r="IVG105" s="450"/>
      <c r="IVH105" s="450"/>
      <c r="IVI105" s="450"/>
      <c r="IVJ105" s="450"/>
      <c r="IVK105" s="450"/>
      <c r="IVL105" s="450"/>
      <c r="IVM105" s="450"/>
      <c r="IVN105" s="450"/>
      <c r="IVO105" s="450"/>
      <c r="IVP105" s="450"/>
      <c r="IVQ105" s="450"/>
      <c r="IVR105" s="450"/>
      <c r="IVS105" s="450"/>
      <c r="IVT105" s="450"/>
      <c r="IVU105" s="450"/>
      <c r="IVV105" s="450"/>
      <c r="IVW105" s="450"/>
      <c r="IVX105" s="450"/>
      <c r="IVY105" s="450"/>
      <c r="IVZ105" s="450"/>
      <c r="IWA105" s="450"/>
      <c r="IWB105" s="450"/>
      <c r="IWC105" s="450"/>
      <c r="IWD105" s="450"/>
      <c r="IWE105" s="450"/>
      <c r="IWF105" s="450"/>
      <c r="IWG105" s="450"/>
      <c r="IWH105" s="450"/>
      <c r="IWI105" s="450"/>
      <c r="IWJ105" s="450"/>
      <c r="IWK105" s="450"/>
      <c r="IWL105" s="450"/>
      <c r="IWM105" s="450"/>
      <c r="IWN105" s="450"/>
      <c r="IWO105" s="450"/>
      <c r="IWP105" s="450"/>
      <c r="IWQ105" s="450"/>
      <c r="IWR105" s="450"/>
      <c r="IWS105" s="450"/>
      <c r="IWT105" s="450"/>
      <c r="IWU105" s="450"/>
      <c r="IWV105" s="450"/>
      <c r="IWW105" s="450"/>
      <c r="IWX105" s="450"/>
      <c r="IWY105" s="450"/>
      <c r="IWZ105" s="450"/>
      <c r="IXA105" s="450"/>
      <c r="IXB105" s="450"/>
      <c r="IXC105" s="450"/>
      <c r="IXD105" s="450"/>
      <c r="IXE105" s="450"/>
      <c r="IXF105" s="450"/>
      <c r="IXG105" s="450"/>
      <c r="IXH105" s="450"/>
      <c r="IXI105" s="450"/>
      <c r="IXJ105" s="450"/>
      <c r="IXK105" s="450"/>
      <c r="IXL105" s="450"/>
      <c r="IXM105" s="450"/>
      <c r="IXN105" s="450"/>
      <c r="IXO105" s="450"/>
      <c r="IXP105" s="450"/>
      <c r="IXQ105" s="450"/>
      <c r="IXR105" s="450"/>
      <c r="IXS105" s="450"/>
      <c r="IXT105" s="450"/>
      <c r="IXU105" s="450"/>
      <c r="IXV105" s="450"/>
      <c r="IXW105" s="450"/>
      <c r="IXX105" s="450"/>
      <c r="IXY105" s="450"/>
      <c r="IXZ105" s="450"/>
      <c r="IYA105" s="450"/>
      <c r="IYB105" s="450"/>
      <c r="IYC105" s="450"/>
      <c r="IYD105" s="450"/>
      <c r="IYE105" s="450"/>
      <c r="IYF105" s="450"/>
      <c r="IYG105" s="450"/>
      <c r="IYH105" s="450"/>
      <c r="IYI105" s="450"/>
      <c r="IYJ105" s="450"/>
      <c r="IYK105" s="450"/>
      <c r="IYL105" s="450"/>
      <c r="IYM105" s="450"/>
      <c r="IYN105" s="450"/>
      <c r="IYO105" s="450"/>
      <c r="IYP105" s="450"/>
      <c r="IYQ105" s="450"/>
      <c r="IYR105" s="450"/>
      <c r="IYS105" s="450"/>
      <c r="IYT105" s="450"/>
      <c r="IYU105" s="450"/>
      <c r="IYV105" s="450"/>
      <c r="IYW105" s="450"/>
      <c r="IYX105" s="450"/>
      <c r="IYY105" s="450"/>
      <c r="IYZ105" s="450"/>
      <c r="IZA105" s="450"/>
      <c r="IZB105" s="450"/>
      <c r="IZC105" s="450"/>
      <c r="IZD105" s="450"/>
      <c r="IZE105" s="450"/>
      <c r="IZF105" s="450"/>
      <c r="IZG105" s="450"/>
      <c r="IZH105" s="450"/>
      <c r="IZI105" s="450"/>
      <c r="IZJ105" s="450"/>
      <c r="IZK105" s="450"/>
      <c r="IZL105" s="450"/>
      <c r="IZM105" s="450"/>
      <c r="IZN105" s="450"/>
      <c r="IZO105" s="450"/>
      <c r="IZP105" s="450"/>
      <c r="IZQ105" s="450"/>
      <c r="IZR105" s="450"/>
      <c r="IZS105" s="450"/>
      <c r="IZT105" s="450"/>
      <c r="IZU105" s="450"/>
      <c r="IZV105" s="450"/>
      <c r="IZW105" s="450"/>
      <c r="IZX105" s="450"/>
      <c r="IZY105" s="450"/>
      <c r="IZZ105" s="450"/>
      <c r="JAA105" s="450"/>
      <c r="JAB105" s="450"/>
      <c r="JAC105" s="450"/>
      <c r="JAD105" s="450"/>
      <c r="JAE105" s="450"/>
      <c r="JAF105" s="450"/>
      <c r="JAG105" s="450"/>
      <c r="JAH105" s="450"/>
      <c r="JAI105" s="450"/>
      <c r="JAJ105" s="450"/>
      <c r="JAK105" s="450"/>
      <c r="JAL105" s="450"/>
      <c r="JAM105" s="450"/>
      <c r="JAN105" s="450"/>
      <c r="JAO105" s="450"/>
      <c r="JAP105" s="450"/>
      <c r="JAQ105" s="450"/>
      <c r="JAR105" s="450"/>
      <c r="JAS105" s="450"/>
      <c r="JAT105" s="450"/>
      <c r="JAU105" s="450"/>
      <c r="JAV105" s="450"/>
      <c r="JAW105" s="450"/>
      <c r="JAX105" s="450"/>
      <c r="JAY105" s="450"/>
      <c r="JAZ105" s="450"/>
      <c r="JBA105" s="450"/>
      <c r="JBB105" s="450"/>
      <c r="JBC105" s="450"/>
      <c r="JBD105" s="450"/>
      <c r="JBE105" s="450"/>
      <c r="JBF105" s="450"/>
      <c r="JBG105" s="450"/>
      <c r="JBH105" s="450"/>
      <c r="JBI105" s="450"/>
      <c r="JBJ105" s="450"/>
      <c r="JBK105" s="450"/>
      <c r="JBL105" s="450"/>
      <c r="JBM105" s="450"/>
      <c r="JBN105" s="450"/>
      <c r="JBO105" s="450"/>
      <c r="JBP105" s="450"/>
      <c r="JBQ105" s="450"/>
      <c r="JBR105" s="450"/>
      <c r="JBS105" s="450"/>
      <c r="JBT105" s="450"/>
      <c r="JBU105" s="450"/>
      <c r="JBV105" s="450"/>
      <c r="JBW105" s="450"/>
      <c r="JBX105" s="450"/>
      <c r="JBY105" s="450"/>
      <c r="JBZ105" s="450"/>
      <c r="JCA105" s="450"/>
      <c r="JCB105" s="450"/>
      <c r="JCC105" s="450"/>
      <c r="JCD105" s="450"/>
      <c r="JCE105" s="450"/>
      <c r="JCF105" s="450"/>
      <c r="JCG105" s="450"/>
      <c r="JCH105" s="450"/>
      <c r="JCI105" s="450"/>
      <c r="JCJ105" s="450"/>
      <c r="JCK105" s="450"/>
      <c r="JCL105" s="450"/>
      <c r="JCM105" s="450"/>
      <c r="JCN105" s="450"/>
      <c r="JCO105" s="450"/>
      <c r="JCP105" s="450"/>
      <c r="JCQ105" s="450"/>
      <c r="JCR105" s="450"/>
      <c r="JCS105" s="450"/>
      <c r="JCT105" s="450"/>
      <c r="JCU105" s="450"/>
      <c r="JCV105" s="450"/>
      <c r="JCW105" s="450"/>
      <c r="JCX105" s="450"/>
      <c r="JCY105" s="450"/>
      <c r="JCZ105" s="450"/>
      <c r="JDA105" s="450"/>
      <c r="JDB105" s="450"/>
      <c r="JDC105" s="450"/>
      <c r="JDD105" s="450"/>
      <c r="JDE105" s="450"/>
      <c r="JDF105" s="450"/>
      <c r="JDG105" s="450"/>
      <c r="JDH105" s="450"/>
      <c r="JDI105" s="450"/>
      <c r="JDJ105" s="450"/>
      <c r="JDK105" s="450"/>
      <c r="JDL105" s="450"/>
      <c r="JDM105" s="450"/>
      <c r="JDN105" s="450"/>
      <c r="JDO105" s="450"/>
      <c r="JDP105" s="450"/>
      <c r="JDQ105" s="450"/>
      <c r="JDR105" s="450"/>
      <c r="JDS105" s="450"/>
      <c r="JDT105" s="450"/>
      <c r="JDU105" s="450"/>
      <c r="JDV105" s="450"/>
      <c r="JDW105" s="450"/>
      <c r="JDX105" s="450"/>
      <c r="JDY105" s="450"/>
      <c r="JDZ105" s="450"/>
      <c r="JEA105" s="450"/>
      <c r="JEB105" s="450"/>
      <c r="JEC105" s="450"/>
      <c r="JED105" s="450"/>
      <c r="JEE105" s="450"/>
      <c r="JEF105" s="450"/>
      <c r="JEG105" s="450"/>
      <c r="JEH105" s="450"/>
      <c r="JEI105" s="450"/>
      <c r="JEJ105" s="450"/>
      <c r="JEK105" s="450"/>
      <c r="JEL105" s="450"/>
      <c r="JEM105" s="450"/>
      <c r="JEN105" s="450"/>
      <c r="JEO105" s="450"/>
      <c r="JEP105" s="450"/>
      <c r="JEQ105" s="450"/>
      <c r="JER105" s="450"/>
      <c r="JES105" s="450"/>
      <c r="JET105" s="450"/>
      <c r="JEU105" s="450"/>
      <c r="JEV105" s="450"/>
      <c r="JEW105" s="450"/>
      <c r="JEX105" s="450"/>
      <c r="JEY105" s="450"/>
      <c r="JEZ105" s="450"/>
      <c r="JFA105" s="450"/>
      <c r="JFB105" s="450"/>
      <c r="JFC105" s="450"/>
      <c r="JFD105" s="450"/>
      <c r="JFE105" s="450"/>
      <c r="JFF105" s="450"/>
      <c r="JFG105" s="450"/>
      <c r="JFH105" s="450"/>
      <c r="JFI105" s="450"/>
      <c r="JFJ105" s="450"/>
      <c r="JFK105" s="450"/>
      <c r="JFL105" s="450"/>
      <c r="JFM105" s="450"/>
      <c r="JFN105" s="450"/>
      <c r="JFO105" s="450"/>
      <c r="JFP105" s="450"/>
      <c r="JFQ105" s="450"/>
      <c r="JFR105" s="450"/>
      <c r="JFS105" s="450"/>
      <c r="JFT105" s="450"/>
      <c r="JFU105" s="450"/>
      <c r="JFV105" s="450"/>
      <c r="JFW105" s="450"/>
      <c r="JFX105" s="450"/>
      <c r="JFY105" s="450"/>
      <c r="JFZ105" s="450"/>
      <c r="JGA105" s="450"/>
      <c r="JGB105" s="450"/>
      <c r="JGC105" s="450"/>
      <c r="JGD105" s="450"/>
      <c r="JGE105" s="450"/>
      <c r="JGF105" s="450"/>
      <c r="JGG105" s="450"/>
      <c r="JGH105" s="450"/>
      <c r="JGI105" s="450"/>
      <c r="JGJ105" s="450"/>
      <c r="JGK105" s="450"/>
      <c r="JGL105" s="450"/>
      <c r="JGM105" s="450"/>
      <c r="JGN105" s="450"/>
      <c r="JGO105" s="450"/>
      <c r="JGP105" s="450"/>
      <c r="JGQ105" s="450"/>
      <c r="JGR105" s="450"/>
      <c r="JGS105" s="450"/>
      <c r="JGT105" s="450"/>
      <c r="JGU105" s="450"/>
      <c r="JGV105" s="450"/>
      <c r="JGW105" s="450"/>
      <c r="JGX105" s="450"/>
      <c r="JGY105" s="450"/>
      <c r="JGZ105" s="450"/>
      <c r="JHA105" s="450"/>
      <c r="JHB105" s="450"/>
      <c r="JHC105" s="450"/>
      <c r="JHD105" s="450"/>
      <c r="JHE105" s="450"/>
      <c r="JHF105" s="450"/>
      <c r="JHG105" s="450"/>
      <c r="JHH105" s="450"/>
      <c r="JHI105" s="450"/>
      <c r="JHJ105" s="450"/>
      <c r="JHK105" s="450"/>
      <c r="JHL105" s="450"/>
      <c r="JHM105" s="450"/>
      <c r="JHN105" s="450"/>
      <c r="JHO105" s="450"/>
      <c r="JHP105" s="450"/>
      <c r="JHQ105" s="450"/>
      <c r="JHR105" s="450"/>
      <c r="JHS105" s="450"/>
      <c r="JHT105" s="450"/>
      <c r="JHU105" s="450"/>
      <c r="JHV105" s="450"/>
      <c r="JHW105" s="450"/>
      <c r="JHX105" s="450"/>
      <c r="JHY105" s="450"/>
      <c r="JHZ105" s="450"/>
      <c r="JIA105" s="450"/>
      <c r="JIB105" s="450"/>
      <c r="JIC105" s="450"/>
      <c r="JID105" s="450"/>
      <c r="JIE105" s="450"/>
      <c r="JIF105" s="450"/>
      <c r="JIG105" s="450"/>
      <c r="JIH105" s="450"/>
      <c r="JII105" s="450"/>
      <c r="JIJ105" s="450"/>
      <c r="JIK105" s="450"/>
      <c r="JIL105" s="450"/>
      <c r="JIM105" s="450"/>
      <c r="JIN105" s="450"/>
      <c r="JIO105" s="450"/>
      <c r="JIP105" s="450"/>
      <c r="JIQ105" s="450"/>
      <c r="JIR105" s="450"/>
      <c r="JIS105" s="450"/>
      <c r="JIT105" s="450"/>
      <c r="JIU105" s="450"/>
      <c r="JIV105" s="450"/>
      <c r="JIW105" s="450"/>
      <c r="JIX105" s="450"/>
      <c r="JIY105" s="450"/>
      <c r="JIZ105" s="450"/>
      <c r="JJA105" s="450"/>
      <c r="JJB105" s="450"/>
      <c r="JJC105" s="450"/>
      <c r="JJD105" s="450"/>
      <c r="JJE105" s="450"/>
      <c r="JJF105" s="450"/>
      <c r="JJG105" s="450"/>
      <c r="JJH105" s="450"/>
      <c r="JJI105" s="450"/>
      <c r="JJJ105" s="450"/>
      <c r="JJK105" s="450"/>
      <c r="JJL105" s="450"/>
      <c r="JJM105" s="450"/>
      <c r="JJN105" s="450"/>
      <c r="JJO105" s="450"/>
      <c r="JJP105" s="450"/>
      <c r="JJQ105" s="450"/>
      <c r="JJR105" s="450"/>
      <c r="JJS105" s="450"/>
      <c r="JJT105" s="450"/>
      <c r="JJU105" s="450"/>
      <c r="JJV105" s="450"/>
      <c r="JJW105" s="450"/>
      <c r="JJX105" s="450"/>
      <c r="JJY105" s="450"/>
      <c r="JJZ105" s="450"/>
      <c r="JKA105" s="450"/>
      <c r="JKB105" s="450"/>
      <c r="JKC105" s="450"/>
      <c r="JKD105" s="450"/>
      <c r="JKE105" s="450"/>
      <c r="JKF105" s="450"/>
      <c r="JKG105" s="450"/>
      <c r="JKH105" s="450"/>
      <c r="JKI105" s="450"/>
      <c r="JKJ105" s="450"/>
      <c r="JKK105" s="450"/>
      <c r="JKL105" s="450"/>
      <c r="JKM105" s="450"/>
      <c r="JKN105" s="450"/>
      <c r="JKO105" s="450"/>
      <c r="JKP105" s="450"/>
      <c r="JKQ105" s="450"/>
      <c r="JKR105" s="450"/>
      <c r="JKS105" s="450"/>
      <c r="JKT105" s="450"/>
      <c r="JKU105" s="450"/>
      <c r="JKV105" s="450"/>
      <c r="JKW105" s="450"/>
      <c r="JKX105" s="450"/>
      <c r="JKY105" s="450"/>
      <c r="JKZ105" s="450"/>
      <c r="JLA105" s="450"/>
      <c r="JLB105" s="450"/>
      <c r="JLC105" s="450"/>
      <c r="JLD105" s="450"/>
      <c r="JLE105" s="450"/>
      <c r="JLF105" s="450"/>
      <c r="JLG105" s="450"/>
      <c r="JLH105" s="450"/>
      <c r="JLI105" s="450"/>
      <c r="JLJ105" s="450"/>
      <c r="JLK105" s="450"/>
      <c r="JLL105" s="450"/>
      <c r="JLM105" s="450"/>
      <c r="JLN105" s="450"/>
      <c r="JLO105" s="450"/>
      <c r="JLP105" s="450"/>
      <c r="JLQ105" s="450"/>
      <c r="JLR105" s="450"/>
      <c r="JLS105" s="450"/>
      <c r="JLT105" s="450"/>
      <c r="JLU105" s="450"/>
      <c r="JLV105" s="450"/>
      <c r="JLW105" s="450"/>
      <c r="JLX105" s="450"/>
      <c r="JLY105" s="450"/>
      <c r="JLZ105" s="450"/>
      <c r="JMA105" s="450"/>
      <c r="JMB105" s="450"/>
      <c r="JMC105" s="450"/>
      <c r="JMD105" s="450"/>
      <c r="JME105" s="450"/>
      <c r="JMF105" s="450"/>
      <c r="JMG105" s="450"/>
      <c r="JMH105" s="450"/>
      <c r="JMI105" s="450"/>
      <c r="JMJ105" s="450"/>
      <c r="JMK105" s="450"/>
      <c r="JML105" s="450"/>
      <c r="JMM105" s="450"/>
      <c r="JMN105" s="450"/>
      <c r="JMO105" s="450"/>
      <c r="JMP105" s="450"/>
      <c r="JMQ105" s="450"/>
      <c r="JMR105" s="450"/>
      <c r="JMS105" s="450"/>
      <c r="JMT105" s="450"/>
      <c r="JMU105" s="450"/>
      <c r="JMV105" s="450"/>
      <c r="JMW105" s="450"/>
      <c r="JMX105" s="450"/>
      <c r="JMY105" s="450"/>
      <c r="JMZ105" s="450"/>
      <c r="JNA105" s="450"/>
      <c r="JNB105" s="450"/>
      <c r="JNC105" s="450"/>
      <c r="JND105" s="450"/>
      <c r="JNE105" s="450"/>
      <c r="JNF105" s="450"/>
      <c r="JNG105" s="450"/>
      <c r="JNH105" s="450"/>
      <c r="JNI105" s="450"/>
      <c r="JNJ105" s="450"/>
      <c r="JNK105" s="450"/>
      <c r="JNL105" s="450"/>
      <c r="JNM105" s="450"/>
      <c r="JNN105" s="450"/>
      <c r="JNO105" s="450"/>
      <c r="JNP105" s="450"/>
      <c r="JNQ105" s="450"/>
      <c r="JNR105" s="450"/>
      <c r="JNS105" s="450"/>
      <c r="JNT105" s="450"/>
      <c r="JNU105" s="450"/>
      <c r="JNV105" s="450"/>
      <c r="JNW105" s="450"/>
      <c r="JNX105" s="450"/>
      <c r="JNY105" s="450"/>
      <c r="JNZ105" s="450"/>
      <c r="JOA105" s="450"/>
      <c r="JOB105" s="450"/>
      <c r="JOC105" s="450"/>
      <c r="JOD105" s="450"/>
      <c r="JOE105" s="450"/>
      <c r="JOF105" s="450"/>
      <c r="JOG105" s="450"/>
      <c r="JOH105" s="450"/>
      <c r="JOI105" s="450"/>
      <c r="JOJ105" s="450"/>
      <c r="JOK105" s="450"/>
      <c r="JOL105" s="450"/>
      <c r="JOM105" s="450"/>
      <c r="JON105" s="450"/>
      <c r="JOO105" s="450"/>
      <c r="JOP105" s="450"/>
      <c r="JOQ105" s="450"/>
      <c r="JOR105" s="450"/>
      <c r="JOS105" s="450"/>
      <c r="JOT105" s="450"/>
      <c r="JOU105" s="450"/>
      <c r="JOV105" s="450"/>
      <c r="JOW105" s="450"/>
      <c r="JOX105" s="450"/>
      <c r="JOY105" s="450"/>
      <c r="JOZ105" s="450"/>
      <c r="JPA105" s="450"/>
      <c r="JPB105" s="450"/>
      <c r="JPC105" s="450"/>
      <c r="JPD105" s="450"/>
      <c r="JPE105" s="450"/>
      <c r="JPF105" s="450"/>
      <c r="JPG105" s="450"/>
      <c r="JPH105" s="450"/>
      <c r="JPI105" s="450"/>
      <c r="JPJ105" s="450"/>
      <c r="JPK105" s="450"/>
      <c r="JPL105" s="450"/>
      <c r="JPM105" s="450"/>
      <c r="JPN105" s="450"/>
      <c r="JPO105" s="450"/>
      <c r="JPP105" s="450"/>
      <c r="JPQ105" s="450"/>
      <c r="JPR105" s="450"/>
      <c r="JPS105" s="450"/>
      <c r="JPT105" s="450"/>
      <c r="JPU105" s="450"/>
      <c r="JPV105" s="450"/>
      <c r="JPW105" s="450"/>
      <c r="JPX105" s="450"/>
      <c r="JPY105" s="450"/>
      <c r="JPZ105" s="450"/>
      <c r="JQA105" s="450"/>
      <c r="JQB105" s="450"/>
      <c r="JQC105" s="450"/>
      <c r="JQD105" s="450"/>
      <c r="JQE105" s="450"/>
      <c r="JQF105" s="450"/>
      <c r="JQG105" s="450"/>
      <c r="JQH105" s="450"/>
      <c r="JQI105" s="450"/>
      <c r="JQJ105" s="450"/>
      <c r="JQK105" s="450"/>
      <c r="JQL105" s="450"/>
      <c r="JQM105" s="450"/>
      <c r="JQN105" s="450"/>
      <c r="JQO105" s="450"/>
      <c r="JQP105" s="450"/>
      <c r="JQQ105" s="450"/>
      <c r="JQR105" s="450"/>
      <c r="JQS105" s="450"/>
      <c r="JQT105" s="450"/>
      <c r="JQU105" s="450"/>
      <c r="JQV105" s="450"/>
      <c r="JQW105" s="450"/>
      <c r="JQX105" s="450"/>
      <c r="JQY105" s="450"/>
      <c r="JQZ105" s="450"/>
      <c r="JRA105" s="450"/>
      <c r="JRB105" s="450"/>
      <c r="JRC105" s="450"/>
      <c r="JRD105" s="450"/>
      <c r="JRE105" s="450"/>
      <c r="JRF105" s="450"/>
      <c r="JRG105" s="450"/>
      <c r="JRH105" s="450"/>
      <c r="JRI105" s="450"/>
      <c r="JRJ105" s="450"/>
      <c r="JRK105" s="450"/>
      <c r="JRL105" s="450"/>
      <c r="JRM105" s="450"/>
      <c r="JRN105" s="450"/>
      <c r="JRO105" s="450"/>
      <c r="JRP105" s="450"/>
      <c r="JRQ105" s="450"/>
      <c r="JRR105" s="450"/>
      <c r="JRS105" s="450"/>
      <c r="JRT105" s="450"/>
      <c r="JRU105" s="450"/>
      <c r="JRV105" s="450"/>
      <c r="JRW105" s="450"/>
      <c r="JRX105" s="450"/>
      <c r="JRY105" s="450"/>
      <c r="JRZ105" s="450"/>
      <c r="JSA105" s="450"/>
      <c r="JSB105" s="450"/>
      <c r="JSC105" s="450"/>
      <c r="JSD105" s="450"/>
      <c r="JSE105" s="450"/>
      <c r="JSF105" s="450"/>
      <c r="JSG105" s="450"/>
      <c r="JSH105" s="450"/>
      <c r="JSI105" s="450"/>
      <c r="JSJ105" s="450"/>
      <c r="JSK105" s="450"/>
      <c r="JSL105" s="450"/>
      <c r="JSM105" s="450"/>
      <c r="JSN105" s="450"/>
      <c r="JSO105" s="450"/>
      <c r="JSP105" s="450"/>
      <c r="JSQ105" s="450"/>
      <c r="JSR105" s="450"/>
      <c r="JSS105" s="450"/>
      <c r="JST105" s="450"/>
      <c r="JSU105" s="450"/>
      <c r="JSV105" s="450"/>
      <c r="JSW105" s="450"/>
      <c r="JSX105" s="450"/>
      <c r="JSY105" s="450"/>
      <c r="JSZ105" s="450"/>
      <c r="JTA105" s="450"/>
      <c r="JTB105" s="450"/>
      <c r="JTC105" s="450"/>
      <c r="JTD105" s="450"/>
      <c r="JTE105" s="450"/>
      <c r="JTF105" s="450"/>
      <c r="JTG105" s="450"/>
      <c r="JTH105" s="450"/>
      <c r="JTI105" s="450"/>
      <c r="JTJ105" s="450"/>
      <c r="JTK105" s="450"/>
      <c r="JTL105" s="450"/>
      <c r="JTM105" s="450"/>
      <c r="JTN105" s="450"/>
      <c r="JTO105" s="450"/>
      <c r="JTP105" s="450"/>
      <c r="JTQ105" s="450"/>
      <c r="JTR105" s="450"/>
      <c r="JTS105" s="450"/>
      <c r="JTT105" s="450"/>
      <c r="JTU105" s="450"/>
      <c r="JTV105" s="450"/>
      <c r="JTW105" s="450"/>
      <c r="JTX105" s="450"/>
      <c r="JTY105" s="450"/>
      <c r="JTZ105" s="450"/>
      <c r="JUA105" s="450"/>
      <c r="JUB105" s="450"/>
      <c r="JUC105" s="450"/>
      <c r="JUD105" s="450"/>
      <c r="JUE105" s="450"/>
      <c r="JUF105" s="450"/>
      <c r="JUG105" s="450"/>
      <c r="JUH105" s="450"/>
      <c r="JUI105" s="450"/>
      <c r="JUJ105" s="450"/>
      <c r="JUK105" s="450"/>
      <c r="JUL105" s="450"/>
      <c r="JUM105" s="450"/>
      <c r="JUN105" s="450"/>
      <c r="JUO105" s="450"/>
      <c r="JUP105" s="450"/>
      <c r="JUQ105" s="450"/>
      <c r="JUR105" s="450"/>
      <c r="JUS105" s="450"/>
      <c r="JUT105" s="450"/>
      <c r="JUU105" s="450"/>
      <c r="JUV105" s="450"/>
      <c r="JUW105" s="450"/>
      <c r="JUX105" s="450"/>
      <c r="JUY105" s="450"/>
      <c r="JUZ105" s="450"/>
      <c r="JVA105" s="450"/>
      <c r="JVB105" s="450"/>
      <c r="JVC105" s="450"/>
      <c r="JVD105" s="450"/>
      <c r="JVE105" s="450"/>
      <c r="JVF105" s="450"/>
      <c r="JVG105" s="450"/>
      <c r="JVH105" s="450"/>
      <c r="JVI105" s="450"/>
      <c r="JVJ105" s="450"/>
      <c r="JVK105" s="450"/>
      <c r="JVL105" s="450"/>
      <c r="JVM105" s="450"/>
      <c r="JVN105" s="450"/>
      <c r="JVO105" s="450"/>
      <c r="JVP105" s="450"/>
      <c r="JVQ105" s="450"/>
      <c r="JVR105" s="450"/>
      <c r="JVS105" s="450"/>
      <c r="JVT105" s="450"/>
      <c r="JVU105" s="450"/>
      <c r="JVV105" s="450"/>
      <c r="JVW105" s="450"/>
      <c r="JVX105" s="450"/>
      <c r="JVY105" s="450"/>
      <c r="JVZ105" s="450"/>
      <c r="JWA105" s="450"/>
      <c r="JWB105" s="450"/>
      <c r="JWC105" s="450"/>
      <c r="JWD105" s="450"/>
      <c r="JWE105" s="450"/>
      <c r="JWF105" s="450"/>
      <c r="JWG105" s="450"/>
      <c r="JWH105" s="450"/>
      <c r="JWI105" s="450"/>
      <c r="JWJ105" s="450"/>
      <c r="JWK105" s="450"/>
      <c r="JWL105" s="450"/>
      <c r="JWM105" s="450"/>
      <c r="JWN105" s="450"/>
      <c r="JWO105" s="450"/>
      <c r="JWP105" s="450"/>
      <c r="JWQ105" s="450"/>
      <c r="JWR105" s="450"/>
      <c r="JWS105" s="450"/>
      <c r="JWT105" s="450"/>
      <c r="JWU105" s="450"/>
      <c r="JWV105" s="450"/>
      <c r="JWW105" s="450"/>
      <c r="JWX105" s="450"/>
      <c r="JWY105" s="450"/>
      <c r="JWZ105" s="450"/>
      <c r="JXA105" s="450"/>
      <c r="JXB105" s="450"/>
      <c r="JXC105" s="450"/>
      <c r="JXD105" s="450"/>
      <c r="JXE105" s="450"/>
      <c r="JXF105" s="450"/>
      <c r="JXG105" s="450"/>
      <c r="JXH105" s="450"/>
      <c r="JXI105" s="450"/>
      <c r="JXJ105" s="450"/>
      <c r="JXK105" s="450"/>
      <c r="JXL105" s="450"/>
      <c r="JXM105" s="450"/>
      <c r="JXN105" s="450"/>
      <c r="JXO105" s="450"/>
      <c r="JXP105" s="450"/>
      <c r="JXQ105" s="450"/>
      <c r="JXR105" s="450"/>
      <c r="JXS105" s="450"/>
      <c r="JXT105" s="450"/>
      <c r="JXU105" s="450"/>
      <c r="JXV105" s="450"/>
      <c r="JXW105" s="450"/>
      <c r="JXX105" s="450"/>
      <c r="JXY105" s="450"/>
      <c r="JXZ105" s="450"/>
      <c r="JYA105" s="450"/>
      <c r="JYB105" s="450"/>
      <c r="JYC105" s="450"/>
      <c r="JYD105" s="450"/>
      <c r="JYE105" s="450"/>
      <c r="JYF105" s="450"/>
      <c r="JYG105" s="450"/>
      <c r="JYH105" s="450"/>
      <c r="JYI105" s="450"/>
      <c r="JYJ105" s="450"/>
      <c r="JYK105" s="450"/>
      <c r="JYL105" s="450"/>
      <c r="JYM105" s="450"/>
      <c r="JYN105" s="450"/>
      <c r="JYO105" s="450"/>
      <c r="JYP105" s="450"/>
      <c r="JYQ105" s="450"/>
      <c r="JYR105" s="450"/>
      <c r="JYS105" s="450"/>
      <c r="JYT105" s="450"/>
      <c r="JYU105" s="450"/>
      <c r="JYV105" s="450"/>
      <c r="JYW105" s="450"/>
      <c r="JYX105" s="450"/>
      <c r="JYY105" s="450"/>
      <c r="JYZ105" s="450"/>
      <c r="JZA105" s="450"/>
      <c r="JZB105" s="450"/>
      <c r="JZC105" s="450"/>
      <c r="JZD105" s="450"/>
      <c r="JZE105" s="450"/>
      <c r="JZF105" s="450"/>
      <c r="JZG105" s="450"/>
      <c r="JZH105" s="450"/>
      <c r="JZI105" s="450"/>
      <c r="JZJ105" s="450"/>
      <c r="JZK105" s="450"/>
      <c r="JZL105" s="450"/>
      <c r="JZM105" s="450"/>
      <c r="JZN105" s="450"/>
      <c r="JZO105" s="450"/>
      <c r="JZP105" s="450"/>
      <c r="JZQ105" s="450"/>
      <c r="JZR105" s="450"/>
      <c r="JZS105" s="450"/>
      <c r="JZT105" s="450"/>
      <c r="JZU105" s="450"/>
      <c r="JZV105" s="450"/>
      <c r="JZW105" s="450"/>
      <c r="JZX105" s="450"/>
      <c r="JZY105" s="450"/>
      <c r="JZZ105" s="450"/>
      <c r="KAA105" s="450"/>
      <c r="KAB105" s="450"/>
      <c r="KAC105" s="450"/>
      <c r="KAD105" s="450"/>
      <c r="KAE105" s="450"/>
      <c r="KAF105" s="450"/>
      <c r="KAG105" s="450"/>
      <c r="KAH105" s="450"/>
      <c r="KAI105" s="450"/>
      <c r="KAJ105" s="450"/>
      <c r="KAK105" s="450"/>
      <c r="KAL105" s="450"/>
      <c r="KAM105" s="450"/>
      <c r="KAN105" s="450"/>
      <c r="KAO105" s="450"/>
      <c r="KAP105" s="450"/>
      <c r="KAQ105" s="450"/>
      <c r="KAR105" s="450"/>
      <c r="KAS105" s="450"/>
      <c r="KAT105" s="450"/>
      <c r="KAU105" s="450"/>
      <c r="KAV105" s="450"/>
      <c r="KAW105" s="450"/>
      <c r="KAX105" s="450"/>
      <c r="KAY105" s="450"/>
      <c r="KAZ105" s="450"/>
      <c r="KBA105" s="450"/>
      <c r="KBB105" s="450"/>
      <c r="KBC105" s="450"/>
      <c r="KBD105" s="450"/>
      <c r="KBE105" s="450"/>
      <c r="KBF105" s="450"/>
      <c r="KBG105" s="450"/>
      <c r="KBH105" s="450"/>
      <c r="KBI105" s="450"/>
      <c r="KBJ105" s="450"/>
      <c r="KBK105" s="450"/>
      <c r="KBL105" s="450"/>
      <c r="KBM105" s="450"/>
      <c r="KBN105" s="450"/>
      <c r="KBO105" s="450"/>
      <c r="KBP105" s="450"/>
      <c r="KBQ105" s="450"/>
      <c r="KBR105" s="450"/>
      <c r="KBS105" s="450"/>
      <c r="KBT105" s="450"/>
      <c r="KBU105" s="450"/>
      <c r="KBV105" s="450"/>
      <c r="KBW105" s="450"/>
      <c r="KBX105" s="450"/>
      <c r="KBY105" s="450"/>
      <c r="KBZ105" s="450"/>
      <c r="KCA105" s="450"/>
      <c r="KCB105" s="450"/>
      <c r="KCC105" s="450"/>
      <c r="KCD105" s="450"/>
      <c r="KCE105" s="450"/>
      <c r="KCF105" s="450"/>
      <c r="KCG105" s="450"/>
      <c r="KCH105" s="450"/>
      <c r="KCI105" s="450"/>
      <c r="KCJ105" s="450"/>
      <c r="KCK105" s="450"/>
      <c r="KCL105" s="450"/>
      <c r="KCM105" s="450"/>
      <c r="KCN105" s="450"/>
      <c r="KCO105" s="450"/>
      <c r="KCP105" s="450"/>
      <c r="KCQ105" s="450"/>
      <c r="KCR105" s="450"/>
      <c r="KCS105" s="450"/>
      <c r="KCT105" s="450"/>
      <c r="KCU105" s="450"/>
      <c r="KCV105" s="450"/>
      <c r="KCW105" s="450"/>
      <c r="KCX105" s="450"/>
      <c r="KCY105" s="450"/>
      <c r="KCZ105" s="450"/>
      <c r="KDA105" s="450"/>
      <c r="KDB105" s="450"/>
      <c r="KDC105" s="450"/>
      <c r="KDD105" s="450"/>
      <c r="KDE105" s="450"/>
      <c r="KDF105" s="450"/>
      <c r="KDG105" s="450"/>
      <c r="KDH105" s="450"/>
      <c r="KDI105" s="450"/>
      <c r="KDJ105" s="450"/>
      <c r="KDK105" s="450"/>
      <c r="KDL105" s="450"/>
      <c r="KDM105" s="450"/>
      <c r="KDN105" s="450"/>
      <c r="KDO105" s="450"/>
      <c r="KDP105" s="450"/>
      <c r="KDQ105" s="450"/>
      <c r="KDR105" s="450"/>
      <c r="KDS105" s="450"/>
      <c r="KDT105" s="450"/>
      <c r="KDU105" s="450"/>
      <c r="KDV105" s="450"/>
      <c r="KDW105" s="450"/>
      <c r="KDX105" s="450"/>
      <c r="KDY105" s="450"/>
      <c r="KDZ105" s="450"/>
      <c r="KEA105" s="450"/>
      <c r="KEB105" s="450"/>
      <c r="KEC105" s="450"/>
      <c r="KED105" s="450"/>
      <c r="KEE105" s="450"/>
      <c r="KEF105" s="450"/>
      <c r="KEG105" s="450"/>
      <c r="KEH105" s="450"/>
      <c r="KEI105" s="450"/>
      <c r="KEJ105" s="450"/>
      <c r="KEK105" s="450"/>
      <c r="KEL105" s="450"/>
      <c r="KEM105" s="450"/>
      <c r="KEN105" s="450"/>
      <c r="KEO105" s="450"/>
      <c r="KEP105" s="450"/>
      <c r="KEQ105" s="450"/>
      <c r="KER105" s="450"/>
      <c r="KES105" s="450"/>
      <c r="KET105" s="450"/>
      <c r="KEU105" s="450"/>
      <c r="KEV105" s="450"/>
      <c r="KEW105" s="450"/>
      <c r="KEX105" s="450"/>
      <c r="KEY105" s="450"/>
      <c r="KEZ105" s="450"/>
      <c r="KFA105" s="450"/>
      <c r="KFB105" s="450"/>
      <c r="KFC105" s="450"/>
      <c r="KFD105" s="450"/>
      <c r="KFE105" s="450"/>
      <c r="KFF105" s="450"/>
      <c r="KFG105" s="450"/>
      <c r="KFH105" s="450"/>
      <c r="KFI105" s="450"/>
      <c r="KFJ105" s="450"/>
      <c r="KFK105" s="450"/>
      <c r="KFL105" s="450"/>
      <c r="KFM105" s="450"/>
      <c r="KFN105" s="450"/>
      <c r="KFO105" s="450"/>
      <c r="KFP105" s="450"/>
      <c r="KFQ105" s="450"/>
      <c r="KFR105" s="450"/>
      <c r="KFS105" s="450"/>
      <c r="KFT105" s="450"/>
      <c r="KFU105" s="450"/>
      <c r="KFV105" s="450"/>
      <c r="KFW105" s="450"/>
      <c r="KFX105" s="450"/>
      <c r="KFY105" s="450"/>
      <c r="KFZ105" s="450"/>
      <c r="KGA105" s="450"/>
      <c r="KGB105" s="450"/>
      <c r="KGC105" s="450"/>
      <c r="KGD105" s="450"/>
      <c r="KGE105" s="450"/>
      <c r="KGF105" s="450"/>
      <c r="KGG105" s="450"/>
      <c r="KGH105" s="450"/>
      <c r="KGI105" s="450"/>
      <c r="KGJ105" s="450"/>
      <c r="KGK105" s="450"/>
      <c r="KGL105" s="450"/>
      <c r="KGM105" s="450"/>
      <c r="KGN105" s="450"/>
      <c r="KGO105" s="450"/>
      <c r="KGP105" s="450"/>
      <c r="KGQ105" s="450"/>
      <c r="KGR105" s="450"/>
      <c r="KGS105" s="450"/>
      <c r="KGT105" s="450"/>
      <c r="KGU105" s="450"/>
      <c r="KGV105" s="450"/>
      <c r="KGW105" s="450"/>
      <c r="KGX105" s="450"/>
      <c r="KGY105" s="450"/>
      <c r="KGZ105" s="450"/>
      <c r="KHA105" s="450"/>
      <c r="KHB105" s="450"/>
      <c r="KHC105" s="450"/>
      <c r="KHD105" s="450"/>
      <c r="KHE105" s="450"/>
      <c r="KHF105" s="450"/>
      <c r="KHG105" s="450"/>
      <c r="KHH105" s="450"/>
      <c r="KHI105" s="450"/>
      <c r="KHJ105" s="450"/>
      <c r="KHK105" s="450"/>
      <c r="KHL105" s="450"/>
      <c r="KHM105" s="450"/>
      <c r="KHN105" s="450"/>
      <c r="KHO105" s="450"/>
      <c r="KHP105" s="450"/>
      <c r="KHQ105" s="450"/>
      <c r="KHR105" s="450"/>
      <c r="KHS105" s="450"/>
      <c r="KHT105" s="450"/>
      <c r="KHU105" s="450"/>
      <c r="KHV105" s="450"/>
      <c r="KHW105" s="450"/>
      <c r="KHX105" s="450"/>
      <c r="KHY105" s="450"/>
      <c r="KHZ105" s="450"/>
      <c r="KIA105" s="450"/>
      <c r="KIB105" s="450"/>
      <c r="KIC105" s="450"/>
      <c r="KID105" s="450"/>
      <c r="KIE105" s="450"/>
      <c r="KIF105" s="450"/>
      <c r="KIG105" s="450"/>
      <c r="KIH105" s="450"/>
      <c r="KII105" s="450"/>
      <c r="KIJ105" s="450"/>
      <c r="KIK105" s="450"/>
      <c r="KIL105" s="450"/>
      <c r="KIM105" s="450"/>
      <c r="KIN105" s="450"/>
      <c r="KIO105" s="450"/>
      <c r="KIP105" s="450"/>
      <c r="KIQ105" s="450"/>
      <c r="KIR105" s="450"/>
      <c r="KIS105" s="450"/>
      <c r="KIT105" s="450"/>
      <c r="KIU105" s="450"/>
      <c r="KIV105" s="450"/>
      <c r="KIW105" s="450"/>
      <c r="KIX105" s="450"/>
      <c r="KIY105" s="450"/>
      <c r="KIZ105" s="450"/>
      <c r="KJA105" s="450"/>
      <c r="KJB105" s="450"/>
      <c r="KJC105" s="450"/>
      <c r="KJD105" s="450"/>
      <c r="KJE105" s="450"/>
      <c r="KJF105" s="450"/>
      <c r="KJG105" s="450"/>
      <c r="KJH105" s="450"/>
      <c r="KJI105" s="450"/>
      <c r="KJJ105" s="450"/>
      <c r="KJK105" s="450"/>
      <c r="KJL105" s="450"/>
      <c r="KJM105" s="450"/>
      <c r="KJN105" s="450"/>
      <c r="KJO105" s="450"/>
      <c r="KJP105" s="450"/>
      <c r="KJQ105" s="450"/>
      <c r="KJR105" s="450"/>
      <c r="KJS105" s="450"/>
      <c r="KJT105" s="450"/>
      <c r="KJU105" s="450"/>
      <c r="KJV105" s="450"/>
      <c r="KJW105" s="450"/>
      <c r="KJX105" s="450"/>
      <c r="KJY105" s="450"/>
      <c r="KJZ105" s="450"/>
      <c r="KKA105" s="450"/>
      <c r="KKB105" s="450"/>
      <c r="KKC105" s="450"/>
      <c r="KKD105" s="450"/>
      <c r="KKE105" s="450"/>
      <c r="KKF105" s="450"/>
      <c r="KKG105" s="450"/>
      <c r="KKH105" s="450"/>
      <c r="KKI105" s="450"/>
      <c r="KKJ105" s="450"/>
      <c r="KKK105" s="450"/>
      <c r="KKL105" s="450"/>
      <c r="KKM105" s="450"/>
      <c r="KKN105" s="450"/>
      <c r="KKO105" s="450"/>
      <c r="KKP105" s="450"/>
      <c r="KKQ105" s="450"/>
      <c r="KKR105" s="450"/>
      <c r="KKS105" s="450"/>
      <c r="KKT105" s="450"/>
      <c r="KKU105" s="450"/>
      <c r="KKV105" s="450"/>
      <c r="KKW105" s="450"/>
      <c r="KKX105" s="450"/>
      <c r="KKY105" s="450"/>
      <c r="KKZ105" s="450"/>
      <c r="KLA105" s="450"/>
      <c r="KLB105" s="450"/>
      <c r="KLC105" s="450"/>
      <c r="KLD105" s="450"/>
      <c r="KLE105" s="450"/>
      <c r="KLF105" s="450"/>
      <c r="KLG105" s="450"/>
      <c r="KLH105" s="450"/>
      <c r="KLI105" s="450"/>
      <c r="KLJ105" s="450"/>
      <c r="KLK105" s="450"/>
      <c r="KLL105" s="450"/>
      <c r="KLM105" s="450"/>
      <c r="KLN105" s="450"/>
      <c r="KLO105" s="450"/>
      <c r="KLP105" s="450"/>
      <c r="KLQ105" s="450"/>
      <c r="KLR105" s="450"/>
      <c r="KLS105" s="450"/>
      <c r="KLT105" s="450"/>
      <c r="KLU105" s="450"/>
      <c r="KLV105" s="450"/>
      <c r="KLW105" s="450"/>
      <c r="KLX105" s="450"/>
      <c r="KLY105" s="450"/>
      <c r="KLZ105" s="450"/>
      <c r="KMA105" s="450"/>
      <c r="KMB105" s="450"/>
      <c r="KMC105" s="450"/>
      <c r="KMD105" s="450"/>
      <c r="KME105" s="450"/>
      <c r="KMF105" s="450"/>
      <c r="KMG105" s="450"/>
      <c r="KMH105" s="450"/>
      <c r="KMI105" s="450"/>
      <c r="KMJ105" s="450"/>
      <c r="KMK105" s="450"/>
      <c r="KML105" s="450"/>
      <c r="KMM105" s="450"/>
      <c r="KMN105" s="450"/>
      <c r="KMO105" s="450"/>
      <c r="KMP105" s="450"/>
      <c r="KMQ105" s="450"/>
      <c r="KMR105" s="450"/>
      <c r="KMS105" s="450"/>
      <c r="KMT105" s="450"/>
      <c r="KMU105" s="450"/>
      <c r="KMV105" s="450"/>
      <c r="KMW105" s="450"/>
      <c r="KMX105" s="450"/>
      <c r="KMY105" s="450"/>
      <c r="KMZ105" s="450"/>
      <c r="KNA105" s="450"/>
      <c r="KNB105" s="450"/>
      <c r="KNC105" s="450"/>
      <c r="KND105" s="450"/>
      <c r="KNE105" s="450"/>
      <c r="KNF105" s="450"/>
      <c r="KNG105" s="450"/>
      <c r="KNH105" s="450"/>
      <c r="KNI105" s="450"/>
      <c r="KNJ105" s="450"/>
      <c r="KNK105" s="450"/>
      <c r="KNL105" s="450"/>
      <c r="KNM105" s="450"/>
      <c r="KNN105" s="450"/>
      <c r="KNO105" s="450"/>
      <c r="KNP105" s="450"/>
      <c r="KNQ105" s="450"/>
      <c r="KNR105" s="450"/>
      <c r="KNS105" s="450"/>
      <c r="KNT105" s="450"/>
      <c r="KNU105" s="450"/>
      <c r="KNV105" s="450"/>
      <c r="KNW105" s="450"/>
      <c r="KNX105" s="450"/>
      <c r="KNY105" s="450"/>
      <c r="KNZ105" s="450"/>
      <c r="KOA105" s="450"/>
      <c r="KOB105" s="450"/>
      <c r="KOC105" s="450"/>
      <c r="KOD105" s="450"/>
      <c r="KOE105" s="450"/>
      <c r="KOF105" s="450"/>
      <c r="KOG105" s="450"/>
      <c r="KOH105" s="450"/>
      <c r="KOI105" s="450"/>
      <c r="KOJ105" s="450"/>
      <c r="KOK105" s="450"/>
      <c r="KOL105" s="450"/>
      <c r="KOM105" s="450"/>
      <c r="KON105" s="450"/>
      <c r="KOO105" s="450"/>
      <c r="KOP105" s="450"/>
      <c r="KOQ105" s="450"/>
      <c r="KOR105" s="450"/>
      <c r="KOS105" s="450"/>
      <c r="KOT105" s="450"/>
      <c r="KOU105" s="450"/>
      <c r="KOV105" s="450"/>
      <c r="KOW105" s="450"/>
      <c r="KOX105" s="450"/>
      <c r="KOY105" s="450"/>
      <c r="KOZ105" s="450"/>
      <c r="KPA105" s="450"/>
      <c r="KPB105" s="450"/>
      <c r="KPC105" s="450"/>
      <c r="KPD105" s="450"/>
      <c r="KPE105" s="450"/>
      <c r="KPF105" s="450"/>
      <c r="KPG105" s="450"/>
      <c r="KPH105" s="450"/>
      <c r="KPI105" s="450"/>
      <c r="KPJ105" s="450"/>
      <c r="KPK105" s="450"/>
      <c r="KPL105" s="450"/>
      <c r="KPM105" s="450"/>
      <c r="KPN105" s="450"/>
      <c r="KPO105" s="450"/>
      <c r="KPP105" s="450"/>
      <c r="KPQ105" s="450"/>
      <c r="KPR105" s="450"/>
      <c r="KPS105" s="450"/>
      <c r="KPT105" s="450"/>
      <c r="KPU105" s="450"/>
      <c r="KPV105" s="450"/>
      <c r="KPW105" s="450"/>
      <c r="KPX105" s="450"/>
      <c r="KPY105" s="450"/>
      <c r="KPZ105" s="450"/>
      <c r="KQA105" s="450"/>
      <c r="KQB105" s="450"/>
      <c r="KQC105" s="450"/>
      <c r="KQD105" s="450"/>
      <c r="KQE105" s="450"/>
      <c r="KQF105" s="450"/>
      <c r="KQG105" s="450"/>
      <c r="KQH105" s="450"/>
      <c r="KQI105" s="450"/>
      <c r="KQJ105" s="450"/>
      <c r="KQK105" s="450"/>
      <c r="KQL105" s="450"/>
      <c r="KQM105" s="450"/>
      <c r="KQN105" s="450"/>
      <c r="KQO105" s="450"/>
      <c r="KQP105" s="450"/>
      <c r="KQQ105" s="450"/>
      <c r="KQR105" s="450"/>
      <c r="KQS105" s="450"/>
      <c r="KQT105" s="450"/>
      <c r="KQU105" s="450"/>
      <c r="KQV105" s="450"/>
      <c r="KQW105" s="450"/>
      <c r="KQX105" s="450"/>
      <c r="KQY105" s="450"/>
      <c r="KQZ105" s="450"/>
      <c r="KRA105" s="450"/>
      <c r="KRB105" s="450"/>
      <c r="KRC105" s="450"/>
      <c r="KRD105" s="450"/>
      <c r="KRE105" s="450"/>
      <c r="KRF105" s="450"/>
      <c r="KRG105" s="450"/>
      <c r="KRH105" s="450"/>
      <c r="KRI105" s="450"/>
      <c r="KRJ105" s="450"/>
      <c r="KRK105" s="450"/>
      <c r="KRL105" s="450"/>
      <c r="KRM105" s="450"/>
      <c r="KRN105" s="450"/>
      <c r="KRO105" s="450"/>
      <c r="KRP105" s="450"/>
      <c r="KRQ105" s="450"/>
      <c r="KRR105" s="450"/>
      <c r="KRS105" s="450"/>
      <c r="KRT105" s="450"/>
      <c r="KRU105" s="450"/>
      <c r="KRV105" s="450"/>
      <c r="KRW105" s="450"/>
      <c r="KRX105" s="450"/>
      <c r="KRY105" s="450"/>
      <c r="KRZ105" s="450"/>
      <c r="KSA105" s="450"/>
      <c r="KSB105" s="450"/>
      <c r="KSC105" s="450"/>
      <c r="KSD105" s="450"/>
      <c r="KSE105" s="450"/>
      <c r="KSF105" s="450"/>
      <c r="KSG105" s="450"/>
      <c r="KSH105" s="450"/>
      <c r="KSI105" s="450"/>
      <c r="KSJ105" s="450"/>
      <c r="KSK105" s="450"/>
      <c r="KSL105" s="450"/>
      <c r="KSM105" s="450"/>
      <c r="KSN105" s="450"/>
      <c r="KSO105" s="450"/>
      <c r="KSP105" s="450"/>
      <c r="KSQ105" s="450"/>
      <c r="KSR105" s="450"/>
      <c r="KSS105" s="450"/>
      <c r="KST105" s="450"/>
      <c r="KSU105" s="450"/>
      <c r="KSV105" s="450"/>
      <c r="KSW105" s="450"/>
      <c r="KSX105" s="450"/>
      <c r="KSY105" s="450"/>
      <c r="KSZ105" s="450"/>
      <c r="KTA105" s="450"/>
      <c r="KTB105" s="450"/>
      <c r="KTC105" s="450"/>
      <c r="KTD105" s="450"/>
      <c r="KTE105" s="450"/>
      <c r="KTF105" s="450"/>
      <c r="KTG105" s="450"/>
      <c r="KTH105" s="450"/>
      <c r="KTI105" s="450"/>
      <c r="KTJ105" s="450"/>
      <c r="KTK105" s="450"/>
      <c r="KTL105" s="450"/>
      <c r="KTM105" s="450"/>
      <c r="KTN105" s="450"/>
      <c r="KTO105" s="450"/>
      <c r="KTP105" s="450"/>
      <c r="KTQ105" s="450"/>
      <c r="KTR105" s="450"/>
      <c r="KTS105" s="450"/>
      <c r="KTT105" s="450"/>
      <c r="KTU105" s="450"/>
      <c r="KTV105" s="450"/>
      <c r="KTW105" s="450"/>
      <c r="KTX105" s="450"/>
      <c r="KTY105" s="450"/>
      <c r="KTZ105" s="450"/>
      <c r="KUA105" s="450"/>
      <c r="KUB105" s="450"/>
      <c r="KUC105" s="450"/>
      <c r="KUD105" s="450"/>
      <c r="KUE105" s="450"/>
      <c r="KUF105" s="450"/>
      <c r="KUG105" s="450"/>
      <c r="KUH105" s="450"/>
      <c r="KUI105" s="450"/>
      <c r="KUJ105" s="450"/>
      <c r="KUK105" s="450"/>
      <c r="KUL105" s="450"/>
      <c r="KUM105" s="450"/>
      <c r="KUN105" s="450"/>
      <c r="KUO105" s="450"/>
      <c r="KUP105" s="450"/>
      <c r="KUQ105" s="450"/>
      <c r="KUR105" s="450"/>
      <c r="KUS105" s="450"/>
      <c r="KUT105" s="450"/>
      <c r="KUU105" s="450"/>
      <c r="KUV105" s="450"/>
      <c r="KUW105" s="450"/>
      <c r="KUX105" s="450"/>
      <c r="KUY105" s="450"/>
      <c r="KUZ105" s="450"/>
      <c r="KVA105" s="450"/>
      <c r="KVB105" s="450"/>
      <c r="KVC105" s="450"/>
      <c r="KVD105" s="450"/>
      <c r="KVE105" s="450"/>
      <c r="KVF105" s="450"/>
      <c r="KVG105" s="450"/>
      <c r="KVH105" s="450"/>
      <c r="KVI105" s="450"/>
      <c r="KVJ105" s="450"/>
      <c r="KVK105" s="450"/>
      <c r="KVL105" s="450"/>
      <c r="KVM105" s="450"/>
      <c r="KVN105" s="450"/>
      <c r="KVO105" s="450"/>
      <c r="KVP105" s="450"/>
      <c r="KVQ105" s="450"/>
      <c r="KVR105" s="450"/>
      <c r="KVS105" s="450"/>
      <c r="KVT105" s="450"/>
      <c r="KVU105" s="450"/>
      <c r="KVV105" s="450"/>
      <c r="KVW105" s="450"/>
      <c r="KVX105" s="450"/>
      <c r="KVY105" s="450"/>
      <c r="KVZ105" s="450"/>
      <c r="KWA105" s="450"/>
      <c r="KWB105" s="450"/>
      <c r="KWC105" s="450"/>
      <c r="KWD105" s="450"/>
      <c r="KWE105" s="450"/>
      <c r="KWF105" s="450"/>
      <c r="KWG105" s="450"/>
      <c r="KWH105" s="450"/>
      <c r="KWI105" s="450"/>
      <c r="KWJ105" s="450"/>
      <c r="KWK105" s="450"/>
      <c r="KWL105" s="450"/>
      <c r="KWM105" s="450"/>
      <c r="KWN105" s="450"/>
      <c r="KWO105" s="450"/>
      <c r="KWP105" s="450"/>
      <c r="KWQ105" s="450"/>
      <c r="KWR105" s="450"/>
      <c r="KWS105" s="450"/>
      <c r="KWT105" s="450"/>
      <c r="KWU105" s="450"/>
      <c r="KWV105" s="450"/>
      <c r="KWW105" s="450"/>
      <c r="KWX105" s="450"/>
      <c r="KWY105" s="450"/>
      <c r="KWZ105" s="450"/>
      <c r="KXA105" s="450"/>
      <c r="KXB105" s="450"/>
      <c r="KXC105" s="450"/>
      <c r="KXD105" s="450"/>
      <c r="KXE105" s="450"/>
      <c r="KXF105" s="450"/>
      <c r="KXG105" s="450"/>
      <c r="KXH105" s="450"/>
      <c r="KXI105" s="450"/>
      <c r="KXJ105" s="450"/>
      <c r="KXK105" s="450"/>
      <c r="KXL105" s="450"/>
      <c r="KXM105" s="450"/>
      <c r="KXN105" s="450"/>
      <c r="KXO105" s="450"/>
      <c r="KXP105" s="450"/>
      <c r="KXQ105" s="450"/>
      <c r="KXR105" s="450"/>
      <c r="KXS105" s="450"/>
      <c r="KXT105" s="450"/>
      <c r="KXU105" s="450"/>
      <c r="KXV105" s="450"/>
      <c r="KXW105" s="450"/>
      <c r="KXX105" s="450"/>
      <c r="KXY105" s="450"/>
      <c r="KXZ105" s="450"/>
      <c r="KYA105" s="450"/>
      <c r="KYB105" s="450"/>
      <c r="KYC105" s="450"/>
      <c r="KYD105" s="450"/>
      <c r="KYE105" s="450"/>
      <c r="KYF105" s="450"/>
      <c r="KYG105" s="450"/>
      <c r="KYH105" s="450"/>
      <c r="KYI105" s="450"/>
      <c r="KYJ105" s="450"/>
      <c r="KYK105" s="450"/>
      <c r="KYL105" s="450"/>
      <c r="KYM105" s="450"/>
      <c r="KYN105" s="450"/>
      <c r="KYO105" s="450"/>
      <c r="KYP105" s="450"/>
      <c r="KYQ105" s="450"/>
      <c r="KYR105" s="450"/>
      <c r="KYS105" s="450"/>
      <c r="KYT105" s="450"/>
      <c r="KYU105" s="450"/>
      <c r="KYV105" s="450"/>
      <c r="KYW105" s="450"/>
      <c r="KYX105" s="450"/>
      <c r="KYY105" s="450"/>
      <c r="KYZ105" s="450"/>
      <c r="KZA105" s="450"/>
      <c r="KZB105" s="450"/>
      <c r="KZC105" s="450"/>
      <c r="KZD105" s="450"/>
      <c r="KZE105" s="450"/>
      <c r="KZF105" s="450"/>
      <c r="KZG105" s="450"/>
      <c r="KZH105" s="450"/>
      <c r="KZI105" s="450"/>
      <c r="KZJ105" s="450"/>
      <c r="KZK105" s="450"/>
      <c r="KZL105" s="450"/>
      <c r="KZM105" s="450"/>
      <c r="KZN105" s="450"/>
      <c r="KZO105" s="450"/>
      <c r="KZP105" s="450"/>
      <c r="KZQ105" s="450"/>
      <c r="KZR105" s="450"/>
      <c r="KZS105" s="450"/>
      <c r="KZT105" s="450"/>
      <c r="KZU105" s="450"/>
      <c r="KZV105" s="450"/>
      <c r="KZW105" s="450"/>
      <c r="KZX105" s="450"/>
      <c r="KZY105" s="450"/>
      <c r="KZZ105" s="450"/>
      <c r="LAA105" s="450"/>
      <c r="LAB105" s="450"/>
      <c r="LAC105" s="450"/>
      <c r="LAD105" s="450"/>
      <c r="LAE105" s="450"/>
      <c r="LAF105" s="450"/>
      <c r="LAG105" s="450"/>
      <c r="LAH105" s="450"/>
      <c r="LAI105" s="450"/>
      <c r="LAJ105" s="450"/>
      <c r="LAK105" s="450"/>
      <c r="LAL105" s="450"/>
      <c r="LAM105" s="450"/>
      <c r="LAN105" s="450"/>
      <c r="LAO105" s="450"/>
      <c r="LAP105" s="450"/>
      <c r="LAQ105" s="450"/>
      <c r="LAR105" s="450"/>
      <c r="LAS105" s="450"/>
      <c r="LAT105" s="450"/>
      <c r="LAU105" s="450"/>
      <c r="LAV105" s="450"/>
      <c r="LAW105" s="450"/>
      <c r="LAX105" s="450"/>
      <c r="LAY105" s="450"/>
      <c r="LAZ105" s="450"/>
      <c r="LBA105" s="450"/>
      <c r="LBB105" s="450"/>
      <c r="LBC105" s="450"/>
      <c r="LBD105" s="450"/>
      <c r="LBE105" s="450"/>
      <c r="LBF105" s="450"/>
      <c r="LBG105" s="450"/>
      <c r="LBH105" s="450"/>
      <c r="LBI105" s="450"/>
      <c r="LBJ105" s="450"/>
      <c r="LBK105" s="450"/>
      <c r="LBL105" s="450"/>
      <c r="LBM105" s="450"/>
      <c r="LBN105" s="450"/>
      <c r="LBO105" s="450"/>
      <c r="LBP105" s="450"/>
      <c r="LBQ105" s="450"/>
      <c r="LBR105" s="450"/>
      <c r="LBS105" s="450"/>
      <c r="LBT105" s="450"/>
      <c r="LBU105" s="450"/>
      <c r="LBV105" s="450"/>
      <c r="LBW105" s="450"/>
      <c r="LBX105" s="450"/>
      <c r="LBY105" s="450"/>
      <c r="LBZ105" s="450"/>
      <c r="LCA105" s="450"/>
      <c r="LCB105" s="450"/>
      <c r="LCC105" s="450"/>
      <c r="LCD105" s="450"/>
      <c r="LCE105" s="450"/>
      <c r="LCF105" s="450"/>
      <c r="LCG105" s="450"/>
      <c r="LCH105" s="450"/>
      <c r="LCI105" s="450"/>
      <c r="LCJ105" s="450"/>
      <c r="LCK105" s="450"/>
      <c r="LCL105" s="450"/>
      <c r="LCM105" s="450"/>
      <c r="LCN105" s="450"/>
      <c r="LCO105" s="450"/>
      <c r="LCP105" s="450"/>
      <c r="LCQ105" s="450"/>
      <c r="LCR105" s="450"/>
      <c r="LCS105" s="450"/>
      <c r="LCT105" s="450"/>
      <c r="LCU105" s="450"/>
      <c r="LCV105" s="450"/>
      <c r="LCW105" s="450"/>
      <c r="LCX105" s="450"/>
      <c r="LCY105" s="450"/>
      <c r="LCZ105" s="450"/>
      <c r="LDA105" s="450"/>
      <c r="LDB105" s="450"/>
      <c r="LDC105" s="450"/>
      <c r="LDD105" s="450"/>
      <c r="LDE105" s="450"/>
      <c r="LDF105" s="450"/>
      <c r="LDG105" s="450"/>
      <c r="LDH105" s="450"/>
      <c r="LDI105" s="450"/>
      <c r="LDJ105" s="450"/>
      <c r="LDK105" s="450"/>
      <c r="LDL105" s="450"/>
      <c r="LDM105" s="450"/>
      <c r="LDN105" s="450"/>
      <c r="LDO105" s="450"/>
      <c r="LDP105" s="450"/>
      <c r="LDQ105" s="450"/>
      <c r="LDR105" s="450"/>
      <c r="LDS105" s="450"/>
      <c r="LDT105" s="450"/>
      <c r="LDU105" s="450"/>
      <c r="LDV105" s="450"/>
      <c r="LDW105" s="450"/>
      <c r="LDX105" s="450"/>
      <c r="LDY105" s="450"/>
      <c r="LDZ105" s="450"/>
      <c r="LEA105" s="450"/>
      <c r="LEB105" s="450"/>
      <c r="LEC105" s="450"/>
      <c r="LED105" s="450"/>
      <c r="LEE105" s="450"/>
      <c r="LEF105" s="450"/>
      <c r="LEG105" s="450"/>
      <c r="LEH105" s="450"/>
      <c r="LEI105" s="450"/>
      <c r="LEJ105" s="450"/>
      <c r="LEK105" s="450"/>
      <c r="LEL105" s="450"/>
      <c r="LEM105" s="450"/>
      <c r="LEN105" s="450"/>
      <c r="LEO105" s="450"/>
      <c r="LEP105" s="450"/>
      <c r="LEQ105" s="450"/>
      <c r="LER105" s="450"/>
      <c r="LES105" s="450"/>
      <c r="LET105" s="450"/>
      <c r="LEU105" s="450"/>
      <c r="LEV105" s="450"/>
      <c r="LEW105" s="450"/>
      <c r="LEX105" s="450"/>
      <c r="LEY105" s="450"/>
      <c r="LEZ105" s="450"/>
      <c r="LFA105" s="450"/>
      <c r="LFB105" s="450"/>
      <c r="LFC105" s="450"/>
      <c r="LFD105" s="450"/>
      <c r="LFE105" s="450"/>
      <c r="LFF105" s="450"/>
      <c r="LFG105" s="450"/>
      <c r="LFH105" s="450"/>
      <c r="LFI105" s="450"/>
      <c r="LFJ105" s="450"/>
      <c r="LFK105" s="450"/>
      <c r="LFL105" s="450"/>
      <c r="LFM105" s="450"/>
      <c r="LFN105" s="450"/>
      <c r="LFO105" s="450"/>
      <c r="LFP105" s="450"/>
      <c r="LFQ105" s="450"/>
      <c r="LFR105" s="450"/>
      <c r="LFS105" s="450"/>
      <c r="LFT105" s="450"/>
      <c r="LFU105" s="450"/>
      <c r="LFV105" s="450"/>
      <c r="LFW105" s="450"/>
      <c r="LFX105" s="450"/>
      <c r="LFY105" s="450"/>
      <c r="LFZ105" s="450"/>
      <c r="LGA105" s="450"/>
      <c r="LGB105" s="450"/>
      <c r="LGC105" s="450"/>
      <c r="LGD105" s="450"/>
      <c r="LGE105" s="450"/>
      <c r="LGF105" s="450"/>
      <c r="LGG105" s="450"/>
      <c r="LGH105" s="450"/>
      <c r="LGI105" s="450"/>
      <c r="LGJ105" s="450"/>
      <c r="LGK105" s="450"/>
      <c r="LGL105" s="450"/>
      <c r="LGM105" s="450"/>
      <c r="LGN105" s="450"/>
      <c r="LGO105" s="450"/>
      <c r="LGP105" s="450"/>
      <c r="LGQ105" s="450"/>
      <c r="LGR105" s="450"/>
      <c r="LGS105" s="450"/>
      <c r="LGT105" s="450"/>
      <c r="LGU105" s="450"/>
      <c r="LGV105" s="450"/>
      <c r="LGW105" s="450"/>
      <c r="LGX105" s="450"/>
      <c r="LGY105" s="450"/>
      <c r="LGZ105" s="450"/>
      <c r="LHA105" s="450"/>
      <c r="LHB105" s="450"/>
      <c r="LHC105" s="450"/>
      <c r="LHD105" s="450"/>
      <c r="LHE105" s="450"/>
      <c r="LHF105" s="450"/>
      <c r="LHG105" s="450"/>
      <c r="LHH105" s="450"/>
      <c r="LHI105" s="450"/>
      <c r="LHJ105" s="450"/>
      <c r="LHK105" s="450"/>
      <c r="LHL105" s="450"/>
      <c r="LHM105" s="450"/>
      <c r="LHN105" s="450"/>
      <c r="LHO105" s="450"/>
      <c r="LHP105" s="450"/>
      <c r="LHQ105" s="450"/>
      <c r="LHR105" s="450"/>
      <c r="LHS105" s="450"/>
      <c r="LHT105" s="450"/>
      <c r="LHU105" s="450"/>
      <c r="LHV105" s="450"/>
      <c r="LHW105" s="450"/>
      <c r="LHX105" s="450"/>
      <c r="LHY105" s="450"/>
      <c r="LHZ105" s="450"/>
      <c r="LIA105" s="450"/>
      <c r="LIB105" s="450"/>
      <c r="LIC105" s="450"/>
      <c r="LID105" s="450"/>
      <c r="LIE105" s="450"/>
      <c r="LIF105" s="450"/>
      <c r="LIG105" s="450"/>
      <c r="LIH105" s="450"/>
      <c r="LII105" s="450"/>
      <c r="LIJ105" s="450"/>
      <c r="LIK105" s="450"/>
      <c r="LIL105" s="450"/>
      <c r="LIM105" s="450"/>
      <c r="LIN105" s="450"/>
      <c r="LIO105" s="450"/>
      <c r="LIP105" s="450"/>
      <c r="LIQ105" s="450"/>
      <c r="LIR105" s="450"/>
      <c r="LIS105" s="450"/>
      <c r="LIT105" s="450"/>
      <c r="LIU105" s="450"/>
      <c r="LIV105" s="450"/>
      <c r="LIW105" s="450"/>
      <c r="LIX105" s="450"/>
      <c r="LIY105" s="450"/>
      <c r="LIZ105" s="450"/>
      <c r="LJA105" s="450"/>
      <c r="LJB105" s="450"/>
      <c r="LJC105" s="450"/>
      <c r="LJD105" s="450"/>
      <c r="LJE105" s="450"/>
      <c r="LJF105" s="450"/>
      <c r="LJG105" s="450"/>
      <c r="LJH105" s="450"/>
      <c r="LJI105" s="450"/>
      <c r="LJJ105" s="450"/>
      <c r="LJK105" s="450"/>
      <c r="LJL105" s="450"/>
      <c r="LJM105" s="450"/>
      <c r="LJN105" s="450"/>
      <c r="LJO105" s="450"/>
      <c r="LJP105" s="450"/>
      <c r="LJQ105" s="450"/>
      <c r="LJR105" s="450"/>
      <c r="LJS105" s="450"/>
      <c r="LJT105" s="450"/>
      <c r="LJU105" s="450"/>
      <c r="LJV105" s="450"/>
      <c r="LJW105" s="450"/>
      <c r="LJX105" s="450"/>
      <c r="LJY105" s="450"/>
      <c r="LJZ105" s="450"/>
      <c r="LKA105" s="450"/>
      <c r="LKB105" s="450"/>
      <c r="LKC105" s="450"/>
      <c r="LKD105" s="450"/>
      <c r="LKE105" s="450"/>
      <c r="LKF105" s="450"/>
      <c r="LKG105" s="450"/>
      <c r="LKH105" s="450"/>
      <c r="LKI105" s="450"/>
      <c r="LKJ105" s="450"/>
      <c r="LKK105" s="450"/>
      <c r="LKL105" s="450"/>
      <c r="LKM105" s="450"/>
      <c r="LKN105" s="450"/>
      <c r="LKO105" s="450"/>
      <c r="LKP105" s="450"/>
      <c r="LKQ105" s="450"/>
      <c r="LKR105" s="450"/>
      <c r="LKS105" s="450"/>
      <c r="LKT105" s="450"/>
      <c r="LKU105" s="450"/>
      <c r="LKV105" s="450"/>
      <c r="LKW105" s="450"/>
      <c r="LKX105" s="450"/>
      <c r="LKY105" s="450"/>
      <c r="LKZ105" s="450"/>
      <c r="LLA105" s="450"/>
      <c r="LLB105" s="450"/>
      <c r="LLC105" s="450"/>
      <c r="LLD105" s="450"/>
      <c r="LLE105" s="450"/>
      <c r="LLF105" s="450"/>
      <c r="LLG105" s="450"/>
      <c r="LLH105" s="450"/>
      <c r="LLI105" s="450"/>
      <c r="LLJ105" s="450"/>
      <c r="LLK105" s="450"/>
      <c r="LLL105" s="450"/>
      <c r="LLM105" s="450"/>
      <c r="LLN105" s="450"/>
      <c r="LLO105" s="450"/>
      <c r="LLP105" s="450"/>
      <c r="LLQ105" s="450"/>
      <c r="LLR105" s="450"/>
      <c r="LLS105" s="450"/>
      <c r="LLT105" s="450"/>
      <c r="LLU105" s="450"/>
      <c r="LLV105" s="450"/>
      <c r="LLW105" s="450"/>
      <c r="LLX105" s="450"/>
      <c r="LLY105" s="450"/>
      <c r="LLZ105" s="450"/>
      <c r="LMA105" s="450"/>
      <c r="LMB105" s="450"/>
      <c r="LMC105" s="450"/>
      <c r="LMD105" s="450"/>
      <c r="LME105" s="450"/>
      <c r="LMF105" s="450"/>
      <c r="LMG105" s="450"/>
      <c r="LMH105" s="450"/>
      <c r="LMI105" s="450"/>
      <c r="LMJ105" s="450"/>
      <c r="LMK105" s="450"/>
      <c r="LML105" s="450"/>
      <c r="LMM105" s="450"/>
      <c r="LMN105" s="450"/>
      <c r="LMO105" s="450"/>
      <c r="LMP105" s="450"/>
      <c r="LMQ105" s="450"/>
      <c r="LMR105" s="450"/>
      <c r="LMS105" s="450"/>
      <c r="LMT105" s="450"/>
      <c r="LMU105" s="450"/>
      <c r="LMV105" s="450"/>
      <c r="LMW105" s="450"/>
      <c r="LMX105" s="450"/>
      <c r="LMY105" s="450"/>
      <c r="LMZ105" s="450"/>
      <c r="LNA105" s="450"/>
      <c r="LNB105" s="450"/>
      <c r="LNC105" s="450"/>
      <c r="LND105" s="450"/>
      <c r="LNE105" s="450"/>
      <c r="LNF105" s="450"/>
      <c r="LNG105" s="450"/>
      <c r="LNH105" s="450"/>
      <c r="LNI105" s="450"/>
      <c r="LNJ105" s="450"/>
      <c r="LNK105" s="450"/>
      <c r="LNL105" s="450"/>
      <c r="LNM105" s="450"/>
      <c r="LNN105" s="450"/>
      <c r="LNO105" s="450"/>
      <c r="LNP105" s="450"/>
      <c r="LNQ105" s="450"/>
      <c r="LNR105" s="450"/>
      <c r="LNS105" s="450"/>
      <c r="LNT105" s="450"/>
      <c r="LNU105" s="450"/>
      <c r="LNV105" s="450"/>
      <c r="LNW105" s="450"/>
      <c r="LNX105" s="450"/>
      <c r="LNY105" s="450"/>
      <c r="LNZ105" s="450"/>
      <c r="LOA105" s="450"/>
      <c r="LOB105" s="450"/>
      <c r="LOC105" s="450"/>
      <c r="LOD105" s="450"/>
      <c r="LOE105" s="450"/>
      <c r="LOF105" s="450"/>
      <c r="LOG105" s="450"/>
      <c r="LOH105" s="450"/>
      <c r="LOI105" s="450"/>
      <c r="LOJ105" s="450"/>
      <c r="LOK105" s="450"/>
      <c r="LOL105" s="450"/>
      <c r="LOM105" s="450"/>
      <c r="LON105" s="450"/>
      <c r="LOO105" s="450"/>
      <c r="LOP105" s="450"/>
      <c r="LOQ105" s="450"/>
      <c r="LOR105" s="450"/>
      <c r="LOS105" s="450"/>
      <c r="LOT105" s="450"/>
      <c r="LOU105" s="450"/>
      <c r="LOV105" s="450"/>
      <c r="LOW105" s="450"/>
      <c r="LOX105" s="450"/>
      <c r="LOY105" s="450"/>
      <c r="LOZ105" s="450"/>
      <c r="LPA105" s="450"/>
      <c r="LPB105" s="450"/>
      <c r="LPC105" s="450"/>
      <c r="LPD105" s="450"/>
      <c r="LPE105" s="450"/>
      <c r="LPF105" s="450"/>
      <c r="LPG105" s="450"/>
      <c r="LPH105" s="450"/>
      <c r="LPI105" s="450"/>
      <c r="LPJ105" s="450"/>
      <c r="LPK105" s="450"/>
      <c r="LPL105" s="450"/>
      <c r="LPM105" s="450"/>
      <c r="LPN105" s="450"/>
      <c r="LPO105" s="450"/>
      <c r="LPP105" s="450"/>
      <c r="LPQ105" s="450"/>
      <c r="LPR105" s="450"/>
      <c r="LPS105" s="450"/>
      <c r="LPT105" s="450"/>
      <c r="LPU105" s="450"/>
      <c r="LPV105" s="450"/>
      <c r="LPW105" s="450"/>
      <c r="LPX105" s="450"/>
      <c r="LPY105" s="450"/>
      <c r="LPZ105" s="450"/>
      <c r="LQA105" s="450"/>
      <c r="LQB105" s="450"/>
      <c r="LQC105" s="450"/>
      <c r="LQD105" s="450"/>
      <c r="LQE105" s="450"/>
      <c r="LQF105" s="450"/>
      <c r="LQG105" s="450"/>
      <c r="LQH105" s="450"/>
      <c r="LQI105" s="450"/>
      <c r="LQJ105" s="450"/>
      <c r="LQK105" s="450"/>
      <c r="LQL105" s="450"/>
      <c r="LQM105" s="450"/>
      <c r="LQN105" s="450"/>
      <c r="LQO105" s="450"/>
      <c r="LQP105" s="450"/>
      <c r="LQQ105" s="450"/>
      <c r="LQR105" s="450"/>
      <c r="LQS105" s="450"/>
      <c r="LQT105" s="450"/>
      <c r="LQU105" s="450"/>
      <c r="LQV105" s="450"/>
      <c r="LQW105" s="450"/>
      <c r="LQX105" s="450"/>
      <c r="LQY105" s="450"/>
      <c r="LQZ105" s="450"/>
      <c r="LRA105" s="450"/>
      <c r="LRB105" s="450"/>
      <c r="LRC105" s="450"/>
      <c r="LRD105" s="450"/>
      <c r="LRE105" s="450"/>
      <c r="LRF105" s="450"/>
      <c r="LRG105" s="450"/>
      <c r="LRH105" s="450"/>
      <c r="LRI105" s="450"/>
      <c r="LRJ105" s="450"/>
      <c r="LRK105" s="450"/>
      <c r="LRL105" s="450"/>
      <c r="LRM105" s="450"/>
      <c r="LRN105" s="450"/>
      <c r="LRO105" s="450"/>
      <c r="LRP105" s="450"/>
      <c r="LRQ105" s="450"/>
      <c r="LRR105" s="450"/>
      <c r="LRS105" s="450"/>
      <c r="LRT105" s="450"/>
      <c r="LRU105" s="450"/>
      <c r="LRV105" s="450"/>
      <c r="LRW105" s="450"/>
      <c r="LRX105" s="450"/>
      <c r="LRY105" s="450"/>
      <c r="LRZ105" s="450"/>
      <c r="LSA105" s="450"/>
      <c r="LSB105" s="450"/>
      <c r="LSC105" s="450"/>
      <c r="LSD105" s="450"/>
      <c r="LSE105" s="450"/>
      <c r="LSF105" s="450"/>
      <c r="LSG105" s="450"/>
      <c r="LSH105" s="450"/>
      <c r="LSI105" s="450"/>
      <c r="LSJ105" s="450"/>
      <c r="LSK105" s="450"/>
      <c r="LSL105" s="450"/>
      <c r="LSM105" s="450"/>
      <c r="LSN105" s="450"/>
      <c r="LSO105" s="450"/>
      <c r="LSP105" s="450"/>
      <c r="LSQ105" s="450"/>
      <c r="LSR105" s="450"/>
      <c r="LSS105" s="450"/>
      <c r="LST105" s="450"/>
      <c r="LSU105" s="450"/>
      <c r="LSV105" s="450"/>
      <c r="LSW105" s="450"/>
      <c r="LSX105" s="450"/>
      <c r="LSY105" s="450"/>
      <c r="LSZ105" s="450"/>
      <c r="LTA105" s="450"/>
      <c r="LTB105" s="450"/>
      <c r="LTC105" s="450"/>
      <c r="LTD105" s="450"/>
      <c r="LTE105" s="450"/>
      <c r="LTF105" s="450"/>
      <c r="LTG105" s="450"/>
      <c r="LTH105" s="450"/>
      <c r="LTI105" s="450"/>
      <c r="LTJ105" s="450"/>
      <c r="LTK105" s="450"/>
      <c r="LTL105" s="450"/>
      <c r="LTM105" s="450"/>
      <c r="LTN105" s="450"/>
      <c r="LTO105" s="450"/>
      <c r="LTP105" s="450"/>
      <c r="LTQ105" s="450"/>
      <c r="LTR105" s="450"/>
      <c r="LTS105" s="450"/>
      <c r="LTT105" s="450"/>
      <c r="LTU105" s="450"/>
      <c r="LTV105" s="450"/>
      <c r="LTW105" s="450"/>
      <c r="LTX105" s="450"/>
      <c r="LTY105" s="450"/>
      <c r="LTZ105" s="450"/>
      <c r="LUA105" s="450"/>
      <c r="LUB105" s="450"/>
      <c r="LUC105" s="450"/>
      <c r="LUD105" s="450"/>
      <c r="LUE105" s="450"/>
      <c r="LUF105" s="450"/>
      <c r="LUG105" s="450"/>
      <c r="LUH105" s="450"/>
      <c r="LUI105" s="450"/>
      <c r="LUJ105" s="450"/>
      <c r="LUK105" s="450"/>
      <c r="LUL105" s="450"/>
      <c r="LUM105" s="450"/>
      <c r="LUN105" s="450"/>
      <c r="LUO105" s="450"/>
      <c r="LUP105" s="450"/>
      <c r="LUQ105" s="450"/>
      <c r="LUR105" s="450"/>
      <c r="LUS105" s="450"/>
      <c r="LUT105" s="450"/>
      <c r="LUU105" s="450"/>
      <c r="LUV105" s="450"/>
      <c r="LUW105" s="450"/>
      <c r="LUX105" s="450"/>
      <c r="LUY105" s="450"/>
      <c r="LUZ105" s="450"/>
      <c r="LVA105" s="450"/>
      <c r="LVB105" s="450"/>
      <c r="LVC105" s="450"/>
      <c r="LVD105" s="450"/>
      <c r="LVE105" s="450"/>
      <c r="LVF105" s="450"/>
      <c r="LVG105" s="450"/>
      <c r="LVH105" s="450"/>
      <c r="LVI105" s="450"/>
      <c r="LVJ105" s="450"/>
      <c r="LVK105" s="450"/>
      <c r="LVL105" s="450"/>
      <c r="LVM105" s="450"/>
      <c r="LVN105" s="450"/>
      <c r="LVO105" s="450"/>
      <c r="LVP105" s="450"/>
      <c r="LVQ105" s="450"/>
      <c r="LVR105" s="450"/>
      <c r="LVS105" s="450"/>
      <c r="LVT105" s="450"/>
      <c r="LVU105" s="450"/>
      <c r="LVV105" s="450"/>
      <c r="LVW105" s="450"/>
      <c r="LVX105" s="450"/>
      <c r="LVY105" s="450"/>
      <c r="LVZ105" s="450"/>
      <c r="LWA105" s="450"/>
      <c r="LWB105" s="450"/>
      <c r="LWC105" s="450"/>
      <c r="LWD105" s="450"/>
      <c r="LWE105" s="450"/>
      <c r="LWF105" s="450"/>
      <c r="LWG105" s="450"/>
      <c r="LWH105" s="450"/>
      <c r="LWI105" s="450"/>
      <c r="LWJ105" s="450"/>
      <c r="LWK105" s="450"/>
      <c r="LWL105" s="450"/>
      <c r="LWM105" s="450"/>
      <c r="LWN105" s="450"/>
      <c r="LWO105" s="450"/>
      <c r="LWP105" s="450"/>
      <c r="LWQ105" s="450"/>
      <c r="LWR105" s="450"/>
      <c r="LWS105" s="450"/>
      <c r="LWT105" s="450"/>
      <c r="LWU105" s="450"/>
      <c r="LWV105" s="450"/>
      <c r="LWW105" s="450"/>
      <c r="LWX105" s="450"/>
      <c r="LWY105" s="450"/>
      <c r="LWZ105" s="450"/>
      <c r="LXA105" s="450"/>
      <c r="LXB105" s="450"/>
      <c r="LXC105" s="450"/>
      <c r="LXD105" s="450"/>
      <c r="LXE105" s="450"/>
      <c r="LXF105" s="450"/>
      <c r="LXG105" s="450"/>
      <c r="LXH105" s="450"/>
      <c r="LXI105" s="450"/>
      <c r="LXJ105" s="450"/>
      <c r="LXK105" s="450"/>
      <c r="LXL105" s="450"/>
      <c r="LXM105" s="450"/>
      <c r="LXN105" s="450"/>
      <c r="LXO105" s="450"/>
      <c r="LXP105" s="450"/>
      <c r="LXQ105" s="450"/>
      <c r="LXR105" s="450"/>
      <c r="LXS105" s="450"/>
      <c r="LXT105" s="450"/>
      <c r="LXU105" s="450"/>
      <c r="LXV105" s="450"/>
      <c r="LXW105" s="450"/>
      <c r="LXX105" s="450"/>
      <c r="LXY105" s="450"/>
      <c r="LXZ105" s="450"/>
      <c r="LYA105" s="450"/>
      <c r="LYB105" s="450"/>
      <c r="LYC105" s="450"/>
      <c r="LYD105" s="450"/>
      <c r="LYE105" s="450"/>
      <c r="LYF105" s="450"/>
      <c r="LYG105" s="450"/>
      <c r="LYH105" s="450"/>
      <c r="LYI105" s="450"/>
      <c r="LYJ105" s="450"/>
      <c r="LYK105" s="450"/>
      <c r="LYL105" s="450"/>
      <c r="LYM105" s="450"/>
      <c r="LYN105" s="450"/>
      <c r="LYO105" s="450"/>
      <c r="LYP105" s="450"/>
      <c r="LYQ105" s="450"/>
      <c r="LYR105" s="450"/>
      <c r="LYS105" s="450"/>
      <c r="LYT105" s="450"/>
      <c r="LYU105" s="450"/>
      <c r="LYV105" s="450"/>
      <c r="LYW105" s="450"/>
      <c r="LYX105" s="450"/>
      <c r="LYY105" s="450"/>
      <c r="LYZ105" s="450"/>
      <c r="LZA105" s="450"/>
      <c r="LZB105" s="450"/>
      <c r="LZC105" s="450"/>
      <c r="LZD105" s="450"/>
      <c r="LZE105" s="450"/>
      <c r="LZF105" s="450"/>
      <c r="LZG105" s="450"/>
      <c r="LZH105" s="450"/>
      <c r="LZI105" s="450"/>
      <c r="LZJ105" s="450"/>
      <c r="LZK105" s="450"/>
      <c r="LZL105" s="450"/>
      <c r="LZM105" s="450"/>
      <c r="LZN105" s="450"/>
      <c r="LZO105" s="450"/>
      <c r="LZP105" s="450"/>
      <c r="LZQ105" s="450"/>
      <c r="LZR105" s="450"/>
      <c r="LZS105" s="450"/>
      <c r="LZT105" s="450"/>
      <c r="LZU105" s="450"/>
      <c r="LZV105" s="450"/>
      <c r="LZW105" s="450"/>
      <c r="LZX105" s="450"/>
      <c r="LZY105" s="450"/>
      <c r="LZZ105" s="450"/>
      <c r="MAA105" s="450"/>
      <c r="MAB105" s="450"/>
      <c r="MAC105" s="450"/>
      <c r="MAD105" s="450"/>
      <c r="MAE105" s="450"/>
      <c r="MAF105" s="450"/>
      <c r="MAG105" s="450"/>
      <c r="MAH105" s="450"/>
      <c r="MAI105" s="450"/>
      <c r="MAJ105" s="450"/>
      <c r="MAK105" s="450"/>
      <c r="MAL105" s="450"/>
      <c r="MAM105" s="450"/>
      <c r="MAN105" s="450"/>
      <c r="MAO105" s="450"/>
      <c r="MAP105" s="450"/>
      <c r="MAQ105" s="450"/>
      <c r="MAR105" s="450"/>
      <c r="MAS105" s="450"/>
      <c r="MAT105" s="450"/>
      <c r="MAU105" s="450"/>
      <c r="MAV105" s="450"/>
      <c r="MAW105" s="450"/>
      <c r="MAX105" s="450"/>
      <c r="MAY105" s="450"/>
      <c r="MAZ105" s="450"/>
      <c r="MBA105" s="450"/>
      <c r="MBB105" s="450"/>
      <c r="MBC105" s="450"/>
      <c r="MBD105" s="450"/>
      <c r="MBE105" s="450"/>
      <c r="MBF105" s="450"/>
      <c r="MBG105" s="450"/>
      <c r="MBH105" s="450"/>
      <c r="MBI105" s="450"/>
      <c r="MBJ105" s="450"/>
      <c r="MBK105" s="450"/>
      <c r="MBL105" s="450"/>
      <c r="MBM105" s="450"/>
      <c r="MBN105" s="450"/>
      <c r="MBO105" s="450"/>
      <c r="MBP105" s="450"/>
      <c r="MBQ105" s="450"/>
      <c r="MBR105" s="450"/>
      <c r="MBS105" s="450"/>
      <c r="MBT105" s="450"/>
      <c r="MBU105" s="450"/>
      <c r="MBV105" s="450"/>
      <c r="MBW105" s="450"/>
      <c r="MBX105" s="450"/>
      <c r="MBY105" s="450"/>
      <c r="MBZ105" s="450"/>
      <c r="MCA105" s="450"/>
      <c r="MCB105" s="450"/>
      <c r="MCC105" s="450"/>
      <c r="MCD105" s="450"/>
      <c r="MCE105" s="450"/>
      <c r="MCF105" s="450"/>
      <c r="MCG105" s="450"/>
      <c r="MCH105" s="450"/>
      <c r="MCI105" s="450"/>
      <c r="MCJ105" s="450"/>
      <c r="MCK105" s="450"/>
      <c r="MCL105" s="450"/>
      <c r="MCM105" s="450"/>
      <c r="MCN105" s="450"/>
      <c r="MCO105" s="450"/>
      <c r="MCP105" s="450"/>
      <c r="MCQ105" s="450"/>
      <c r="MCR105" s="450"/>
      <c r="MCS105" s="450"/>
      <c r="MCT105" s="450"/>
      <c r="MCU105" s="450"/>
      <c r="MCV105" s="450"/>
      <c r="MCW105" s="450"/>
      <c r="MCX105" s="450"/>
      <c r="MCY105" s="450"/>
      <c r="MCZ105" s="450"/>
      <c r="MDA105" s="450"/>
      <c r="MDB105" s="450"/>
      <c r="MDC105" s="450"/>
      <c r="MDD105" s="450"/>
      <c r="MDE105" s="450"/>
      <c r="MDF105" s="450"/>
      <c r="MDG105" s="450"/>
      <c r="MDH105" s="450"/>
      <c r="MDI105" s="450"/>
      <c r="MDJ105" s="450"/>
      <c r="MDK105" s="450"/>
      <c r="MDL105" s="450"/>
      <c r="MDM105" s="450"/>
      <c r="MDN105" s="450"/>
      <c r="MDO105" s="450"/>
      <c r="MDP105" s="450"/>
      <c r="MDQ105" s="450"/>
      <c r="MDR105" s="450"/>
      <c r="MDS105" s="450"/>
      <c r="MDT105" s="450"/>
      <c r="MDU105" s="450"/>
      <c r="MDV105" s="450"/>
      <c r="MDW105" s="450"/>
      <c r="MDX105" s="450"/>
      <c r="MDY105" s="450"/>
      <c r="MDZ105" s="450"/>
      <c r="MEA105" s="450"/>
      <c r="MEB105" s="450"/>
      <c r="MEC105" s="450"/>
      <c r="MED105" s="450"/>
      <c r="MEE105" s="450"/>
      <c r="MEF105" s="450"/>
      <c r="MEG105" s="450"/>
      <c r="MEH105" s="450"/>
      <c r="MEI105" s="450"/>
      <c r="MEJ105" s="450"/>
      <c r="MEK105" s="450"/>
      <c r="MEL105" s="450"/>
      <c r="MEM105" s="450"/>
      <c r="MEN105" s="450"/>
      <c r="MEO105" s="450"/>
      <c r="MEP105" s="450"/>
      <c r="MEQ105" s="450"/>
      <c r="MER105" s="450"/>
      <c r="MES105" s="450"/>
      <c r="MET105" s="450"/>
      <c r="MEU105" s="450"/>
      <c r="MEV105" s="450"/>
      <c r="MEW105" s="450"/>
      <c r="MEX105" s="450"/>
      <c r="MEY105" s="450"/>
      <c r="MEZ105" s="450"/>
      <c r="MFA105" s="450"/>
      <c r="MFB105" s="450"/>
      <c r="MFC105" s="450"/>
      <c r="MFD105" s="450"/>
      <c r="MFE105" s="450"/>
      <c r="MFF105" s="450"/>
      <c r="MFG105" s="450"/>
      <c r="MFH105" s="450"/>
      <c r="MFI105" s="450"/>
      <c r="MFJ105" s="450"/>
      <c r="MFK105" s="450"/>
      <c r="MFL105" s="450"/>
      <c r="MFM105" s="450"/>
      <c r="MFN105" s="450"/>
      <c r="MFO105" s="450"/>
      <c r="MFP105" s="450"/>
      <c r="MFQ105" s="450"/>
      <c r="MFR105" s="450"/>
      <c r="MFS105" s="450"/>
      <c r="MFT105" s="450"/>
      <c r="MFU105" s="450"/>
      <c r="MFV105" s="450"/>
      <c r="MFW105" s="450"/>
      <c r="MFX105" s="450"/>
      <c r="MFY105" s="450"/>
      <c r="MFZ105" s="450"/>
      <c r="MGA105" s="450"/>
      <c r="MGB105" s="450"/>
      <c r="MGC105" s="450"/>
      <c r="MGD105" s="450"/>
      <c r="MGE105" s="450"/>
      <c r="MGF105" s="450"/>
      <c r="MGG105" s="450"/>
      <c r="MGH105" s="450"/>
      <c r="MGI105" s="450"/>
      <c r="MGJ105" s="450"/>
      <c r="MGK105" s="450"/>
      <c r="MGL105" s="450"/>
      <c r="MGM105" s="450"/>
      <c r="MGN105" s="450"/>
      <c r="MGO105" s="450"/>
      <c r="MGP105" s="450"/>
      <c r="MGQ105" s="450"/>
      <c r="MGR105" s="450"/>
      <c r="MGS105" s="450"/>
      <c r="MGT105" s="450"/>
      <c r="MGU105" s="450"/>
      <c r="MGV105" s="450"/>
      <c r="MGW105" s="450"/>
      <c r="MGX105" s="450"/>
      <c r="MGY105" s="450"/>
      <c r="MGZ105" s="450"/>
      <c r="MHA105" s="450"/>
      <c r="MHB105" s="450"/>
      <c r="MHC105" s="450"/>
      <c r="MHD105" s="450"/>
      <c r="MHE105" s="450"/>
      <c r="MHF105" s="450"/>
      <c r="MHG105" s="450"/>
      <c r="MHH105" s="450"/>
      <c r="MHI105" s="450"/>
      <c r="MHJ105" s="450"/>
      <c r="MHK105" s="450"/>
      <c r="MHL105" s="450"/>
      <c r="MHM105" s="450"/>
      <c r="MHN105" s="450"/>
      <c r="MHO105" s="450"/>
      <c r="MHP105" s="450"/>
      <c r="MHQ105" s="450"/>
      <c r="MHR105" s="450"/>
      <c r="MHS105" s="450"/>
      <c r="MHT105" s="450"/>
      <c r="MHU105" s="450"/>
      <c r="MHV105" s="450"/>
      <c r="MHW105" s="450"/>
      <c r="MHX105" s="450"/>
      <c r="MHY105" s="450"/>
      <c r="MHZ105" s="450"/>
      <c r="MIA105" s="450"/>
      <c r="MIB105" s="450"/>
      <c r="MIC105" s="450"/>
      <c r="MID105" s="450"/>
      <c r="MIE105" s="450"/>
      <c r="MIF105" s="450"/>
      <c r="MIG105" s="450"/>
      <c r="MIH105" s="450"/>
      <c r="MII105" s="450"/>
      <c r="MIJ105" s="450"/>
      <c r="MIK105" s="450"/>
      <c r="MIL105" s="450"/>
      <c r="MIM105" s="450"/>
      <c r="MIN105" s="450"/>
      <c r="MIO105" s="450"/>
      <c r="MIP105" s="450"/>
      <c r="MIQ105" s="450"/>
      <c r="MIR105" s="450"/>
      <c r="MIS105" s="450"/>
      <c r="MIT105" s="450"/>
      <c r="MIU105" s="450"/>
      <c r="MIV105" s="450"/>
      <c r="MIW105" s="450"/>
      <c r="MIX105" s="450"/>
      <c r="MIY105" s="450"/>
      <c r="MIZ105" s="450"/>
      <c r="MJA105" s="450"/>
      <c r="MJB105" s="450"/>
      <c r="MJC105" s="450"/>
      <c r="MJD105" s="450"/>
      <c r="MJE105" s="450"/>
      <c r="MJF105" s="450"/>
      <c r="MJG105" s="450"/>
      <c r="MJH105" s="450"/>
      <c r="MJI105" s="450"/>
      <c r="MJJ105" s="450"/>
      <c r="MJK105" s="450"/>
      <c r="MJL105" s="450"/>
      <c r="MJM105" s="450"/>
      <c r="MJN105" s="450"/>
      <c r="MJO105" s="450"/>
      <c r="MJP105" s="450"/>
      <c r="MJQ105" s="450"/>
      <c r="MJR105" s="450"/>
      <c r="MJS105" s="450"/>
      <c r="MJT105" s="450"/>
      <c r="MJU105" s="450"/>
      <c r="MJV105" s="450"/>
      <c r="MJW105" s="450"/>
      <c r="MJX105" s="450"/>
      <c r="MJY105" s="450"/>
      <c r="MJZ105" s="450"/>
      <c r="MKA105" s="450"/>
      <c r="MKB105" s="450"/>
      <c r="MKC105" s="450"/>
      <c r="MKD105" s="450"/>
      <c r="MKE105" s="450"/>
      <c r="MKF105" s="450"/>
      <c r="MKG105" s="450"/>
      <c r="MKH105" s="450"/>
      <c r="MKI105" s="450"/>
      <c r="MKJ105" s="450"/>
      <c r="MKK105" s="450"/>
      <c r="MKL105" s="450"/>
      <c r="MKM105" s="450"/>
      <c r="MKN105" s="450"/>
      <c r="MKO105" s="450"/>
      <c r="MKP105" s="450"/>
      <c r="MKQ105" s="450"/>
      <c r="MKR105" s="450"/>
      <c r="MKS105" s="450"/>
      <c r="MKT105" s="450"/>
      <c r="MKU105" s="450"/>
      <c r="MKV105" s="450"/>
      <c r="MKW105" s="450"/>
      <c r="MKX105" s="450"/>
      <c r="MKY105" s="450"/>
      <c r="MKZ105" s="450"/>
      <c r="MLA105" s="450"/>
      <c r="MLB105" s="450"/>
      <c r="MLC105" s="450"/>
      <c r="MLD105" s="450"/>
      <c r="MLE105" s="450"/>
      <c r="MLF105" s="450"/>
      <c r="MLG105" s="450"/>
      <c r="MLH105" s="450"/>
      <c r="MLI105" s="450"/>
      <c r="MLJ105" s="450"/>
      <c r="MLK105" s="450"/>
      <c r="MLL105" s="450"/>
      <c r="MLM105" s="450"/>
      <c r="MLN105" s="450"/>
      <c r="MLO105" s="450"/>
      <c r="MLP105" s="450"/>
      <c r="MLQ105" s="450"/>
      <c r="MLR105" s="450"/>
      <c r="MLS105" s="450"/>
      <c r="MLT105" s="450"/>
      <c r="MLU105" s="450"/>
      <c r="MLV105" s="450"/>
      <c r="MLW105" s="450"/>
      <c r="MLX105" s="450"/>
      <c r="MLY105" s="450"/>
      <c r="MLZ105" s="450"/>
      <c r="MMA105" s="450"/>
      <c r="MMB105" s="450"/>
      <c r="MMC105" s="450"/>
      <c r="MMD105" s="450"/>
      <c r="MME105" s="450"/>
      <c r="MMF105" s="450"/>
      <c r="MMG105" s="450"/>
      <c r="MMH105" s="450"/>
      <c r="MMI105" s="450"/>
      <c r="MMJ105" s="450"/>
      <c r="MMK105" s="450"/>
      <c r="MML105" s="450"/>
      <c r="MMM105" s="450"/>
      <c r="MMN105" s="450"/>
      <c r="MMO105" s="450"/>
      <c r="MMP105" s="450"/>
      <c r="MMQ105" s="450"/>
      <c r="MMR105" s="450"/>
      <c r="MMS105" s="450"/>
      <c r="MMT105" s="450"/>
      <c r="MMU105" s="450"/>
      <c r="MMV105" s="450"/>
      <c r="MMW105" s="450"/>
      <c r="MMX105" s="450"/>
      <c r="MMY105" s="450"/>
      <c r="MMZ105" s="450"/>
      <c r="MNA105" s="450"/>
      <c r="MNB105" s="450"/>
      <c r="MNC105" s="450"/>
      <c r="MND105" s="450"/>
      <c r="MNE105" s="450"/>
      <c r="MNF105" s="450"/>
      <c r="MNG105" s="450"/>
      <c r="MNH105" s="450"/>
      <c r="MNI105" s="450"/>
      <c r="MNJ105" s="450"/>
      <c r="MNK105" s="450"/>
      <c r="MNL105" s="450"/>
      <c r="MNM105" s="450"/>
      <c r="MNN105" s="450"/>
      <c r="MNO105" s="450"/>
      <c r="MNP105" s="450"/>
      <c r="MNQ105" s="450"/>
      <c r="MNR105" s="450"/>
      <c r="MNS105" s="450"/>
      <c r="MNT105" s="450"/>
      <c r="MNU105" s="450"/>
      <c r="MNV105" s="450"/>
      <c r="MNW105" s="450"/>
      <c r="MNX105" s="450"/>
      <c r="MNY105" s="450"/>
      <c r="MNZ105" s="450"/>
      <c r="MOA105" s="450"/>
      <c r="MOB105" s="450"/>
      <c r="MOC105" s="450"/>
      <c r="MOD105" s="450"/>
      <c r="MOE105" s="450"/>
      <c r="MOF105" s="450"/>
      <c r="MOG105" s="450"/>
      <c r="MOH105" s="450"/>
      <c r="MOI105" s="450"/>
      <c r="MOJ105" s="450"/>
      <c r="MOK105" s="450"/>
      <c r="MOL105" s="450"/>
      <c r="MOM105" s="450"/>
      <c r="MON105" s="450"/>
      <c r="MOO105" s="450"/>
      <c r="MOP105" s="450"/>
      <c r="MOQ105" s="450"/>
      <c r="MOR105" s="450"/>
      <c r="MOS105" s="450"/>
      <c r="MOT105" s="450"/>
      <c r="MOU105" s="450"/>
      <c r="MOV105" s="450"/>
      <c r="MOW105" s="450"/>
      <c r="MOX105" s="450"/>
      <c r="MOY105" s="450"/>
      <c r="MOZ105" s="450"/>
      <c r="MPA105" s="450"/>
      <c r="MPB105" s="450"/>
      <c r="MPC105" s="450"/>
      <c r="MPD105" s="450"/>
      <c r="MPE105" s="450"/>
      <c r="MPF105" s="450"/>
      <c r="MPG105" s="450"/>
      <c r="MPH105" s="450"/>
      <c r="MPI105" s="450"/>
      <c r="MPJ105" s="450"/>
      <c r="MPK105" s="450"/>
      <c r="MPL105" s="450"/>
      <c r="MPM105" s="450"/>
      <c r="MPN105" s="450"/>
      <c r="MPO105" s="450"/>
      <c r="MPP105" s="450"/>
      <c r="MPQ105" s="450"/>
      <c r="MPR105" s="450"/>
      <c r="MPS105" s="450"/>
      <c r="MPT105" s="450"/>
      <c r="MPU105" s="450"/>
      <c r="MPV105" s="450"/>
      <c r="MPW105" s="450"/>
      <c r="MPX105" s="450"/>
      <c r="MPY105" s="450"/>
      <c r="MPZ105" s="450"/>
      <c r="MQA105" s="450"/>
      <c r="MQB105" s="450"/>
      <c r="MQC105" s="450"/>
      <c r="MQD105" s="450"/>
      <c r="MQE105" s="450"/>
      <c r="MQF105" s="450"/>
      <c r="MQG105" s="450"/>
      <c r="MQH105" s="450"/>
      <c r="MQI105" s="450"/>
      <c r="MQJ105" s="450"/>
      <c r="MQK105" s="450"/>
      <c r="MQL105" s="450"/>
      <c r="MQM105" s="450"/>
      <c r="MQN105" s="450"/>
      <c r="MQO105" s="450"/>
      <c r="MQP105" s="450"/>
      <c r="MQQ105" s="450"/>
      <c r="MQR105" s="450"/>
      <c r="MQS105" s="450"/>
      <c r="MQT105" s="450"/>
      <c r="MQU105" s="450"/>
      <c r="MQV105" s="450"/>
      <c r="MQW105" s="450"/>
      <c r="MQX105" s="450"/>
      <c r="MQY105" s="450"/>
      <c r="MQZ105" s="450"/>
      <c r="MRA105" s="450"/>
      <c r="MRB105" s="450"/>
      <c r="MRC105" s="450"/>
      <c r="MRD105" s="450"/>
      <c r="MRE105" s="450"/>
      <c r="MRF105" s="450"/>
      <c r="MRG105" s="450"/>
      <c r="MRH105" s="450"/>
      <c r="MRI105" s="450"/>
      <c r="MRJ105" s="450"/>
      <c r="MRK105" s="450"/>
      <c r="MRL105" s="450"/>
      <c r="MRM105" s="450"/>
      <c r="MRN105" s="450"/>
      <c r="MRO105" s="450"/>
      <c r="MRP105" s="450"/>
      <c r="MRQ105" s="450"/>
      <c r="MRR105" s="450"/>
      <c r="MRS105" s="450"/>
      <c r="MRT105" s="450"/>
      <c r="MRU105" s="450"/>
      <c r="MRV105" s="450"/>
      <c r="MRW105" s="450"/>
      <c r="MRX105" s="450"/>
      <c r="MRY105" s="450"/>
      <c r="MRZ105" s="450"/>
      <c r="MSA105" s="450"/>
      <c r="MSB105" s="450"/>
      <c r="MSC105" s="450"/>
      <c r="MSD105" s="450"/>
      <c r="MSE105" s="450"/>
      <c r="MSF105" s="450"/>
      <c r="MSG105" s="450"/>
      <c r="MSH105" s="450"/>
      <c r="MSI105" s="450"/>
      <c r="MSJ105" s="450"/>
      <c r="MSK105" s="450"/>
      <c r="MSL105" s="450"/>
      <c r="MSM105" s="450"/>
      <c r="MSN105" s="450"/>
      <c r="MSO105" s="450"/>
      <c r="MSP105" s="450"/>
      <c r="MSQ105" s="450"/>
      <c r="MSR105" s="450"/>
      <c r="MSS105" s="450"/>
      <c r="MST105" s="450"/>
      <c r="MSU105" s="450"/>
      <c r="MSV105" s="450"/>
      <c r="MSW105" s="450"/>
      <c r="MSX105" s="450"/>
      <c r="MSY105" s="450"/>
      <c r="MSZ105" s="450"/>
      <c r="MTA105" s="450"/>
      <c r="MTB105" s="450"/>
      <c r="MTC105" s="450"/>
      <c r="MTD105" s="450"/>
      <c r="MTE105" s="450"/>
      <c r="MTF105" s="450"/>
      <c r="MTG105" s="450"/>
      <c r="MTH105" s="450"/>
      <c r="MTI105" s="450"/>
      <c r="MTJ105" s="450"/>
      <c r="MTK105" s="450"/>
      <c r="MTL105" s="450"/>
      <c r="MTM105" s="450"/>
      <c r="MTN105" s="450"/>
      <c r="MTO105" s="450"/>
      <c r="MTP105" s="450"/>
      <c r="MTQ105" s="450"/>
      <c r="MTR105" s="450"/>
      <c r="MTS105" s="450"/>
      <c r="MTT105" s="450"/>
      <c r="MTU105" s="450"/>
      <c r="MTV105" s="450"/>
      <c r="MTW105" s="450"/>
      <c r="MTX105" s="450"/>
      <c r="MTY105" s="450"/>
      <c r="MTZ105" s="450"/>
      <c r="MUA105" s="450"/>
      <c r="MUB105" s="450"/>
      <c r="MUC105" s="450"/>
      <c r="MUD105" s="450"/>
      <c r="MUE105" s="450"/>
      <c r="MUF105" s="450"/>
      <c r="MUG105" s="450"/>
      <c r="MUH105" s="450"/>
      <c r="MUI105" s="450"/>
      <c r="MUJ105" s="450"/>
      <c r="MUK105" s="450"/>
      <c r="MUL105" s="450"/>
      <c r="MUM105" s="450"/>
      <c r="MUN105" s="450"/>
      <c r="MUO105" s="450"/>
      <c r="MUP105" s="450"/>
      <c r="MUQ105" s="450"/>
      <c r="MUR105" s="450"/>
      <c r="MUS105" s="450"/>
      <c r="MUT105" s="450"/>
      <c r="MUU105" s="450"/>
      <c r="MUV105" s="450"/>
      <c r="MUW105" s="450"/>
      <c r="MUX105" s="450"/>
      <c r="MUY105" s="450"/>
      <c r="MUZ105" s="450"/>
      <c r="MVA105" s="450"/>
      <c r="MVB105" s="450"/>
      <c r="MVC105" s="450"/>
      <c r="MVD105" s="450"/>
      <c r="MVE105" s="450"/>
      <c r="MVF105" s="450"/>
      <c r="MVG105" s="450"/>
      <c r="MVH105" s="450"/>
      <c r="MVI105" s="450"/>
      <c r="MVJ105" s="450"/>
      <c r="MVK105" s="450"/>
      <c r="MVL105" s="450"/>
      <c r="MVM105" s="450"/>
      <c r="MVN105" s="450"/>
      <c r="MVO105" s="450"/>
      <c r="MVP105" s="450"/>
      <c r="MVQ105" s="450"/>
      <c r="MVR105" s="450"/>
      <c r="MVS105" s="450"/>
      <c r="MVT105" s="450"/>
      <c r="MVU105" s="450"/>
      <c r="MVV105" s="450"/>
      <c r="MVW105" s="450"/>
      <c r="MVX105" s="450"/>
      <c r="MVY105" s="450"/>
      <c r="MVZ105" s="450"/>
      <c r="MWA105" s="450"/>
      <c r="MWB105" s="450"/>
      <c r="MWC105" s="450"/>
      <c r="MWD105" s="450"/>
      <c r="MWE105" s="450"/>
      <c r="MWF105" s="450"/>
      <c r="MWG105" s="450"/>
      <c r="MWH105" s="450"/>
      <c r="MWI105" s="450"/>
      <c r="MWJ105" s="450"/>
      <c r="MWK105" s="450"/>
      <c r="MWL105" s="450"/>
      <c r="MWM105" s="450"/>
      <c r="MWN105" s="450"/>
      <c r="MWO105" s="450"/>
      <c r="MWP105" s="450"/>
      <c r="MWQ105" s="450"/>
      <c r="MWR105" s="450"/>
      <c r="MWS105" s="450"/>
      <c r="MWT105" s="450"/>
      <c r="MWU105" s="450"/>
      <c r="MWV105" s="450"/>
      <c r="MWW105" s="450"/>
      <c r="MWX105" s="450"/>
      <c r="MWY105" s="450"/>
      <c r="MWZ105" s="450"/>
      <c r="MXA105" s="450"/>
      <c r="MXB105" s="450"/>
      <c r="MXC105" s="450"/>
      <c r="MXD105" s="450"/>
      <c r="MXE105" s="450"/>
      <c r="MXF105" s="450"/>
      <c r="MXG105" s="450"/>
      <c r="MXH105" s="450"/>
      <c r="MXI105" s="450"/>
      <c r="MXJ105" s="450"/>
      <c r="MXK105" s="450"/>
      <c r="MXL105" s="450"/>
      <c r="MXM105" s="450"/>
      <c r="MXN105" s="450"/>
      <c r="MXO105" s="450"/>
      <c r="MXP105" s="450"/>
      <c r="MXQ105" s="450"/>
      <c r="MXR105" s="450"/>
      <c r="MXS105" s="450"/>
      <c r="MXT105" s="450"/>
      <c r="MXU105" s="450"/>
      <c r="MXV105" s="450"/>
      <c r="MXW105" s="450"/>
      <c r="MXX105" s="450"/>
      <c r="MXY105" s="450"/>
      <c r="MXZ105" s="450"/>
      <c r="MYA105" s="450"/>
      <c r="MYB105" s="450"/>
      <c r="MYC105" s="450"/>
      <c r="MYD105" s="450"/>
      <c r="MYE105" s="450"/>
      <c r="MYF105" s="450"/>
      <c r="MYG105" s="450"/>
      <c r="MYH105" s="450"/>
      <c r="MYI105" s="450"/>
      <c r="MYJ105" s="450"/>
      <c r="MYK105" s="450"/>
      <c r="MYL105" s="450"/>
      <c r="MYM105" s="450"/>
      <c r="MYN105" s="450"/>
      <c r="MYO105" s="450"/>
      <c r="MYP105" s="450"/>
      <c r="MYQ105" s="450"/>
      <c r="MYR105" s="450"/>
      <c r="MYS105" s="450"/>
      <c r="MYT105" s="450"/>
      <c r="MYU105" s="450"/>
      <c r="MYV105" s="450"/>
      <c r="MYW105" s="450"/>
      <c r="MYX105" s="450"/>
      <c r="MYY105" s="450"/>
      <c r="MYZ105" s="450"/>
      <c r="MZA105" s="450"/>
      <c r="MZB105" s="450"/>
      <c r="MZC105" s="450"/>
      <c r="MZD105" s="450"/>
      <c r="MZE105" s="450"/>
      <c r="MZF105" s="450"/>
      <c r="MZG105" s="450"/>
      <c r="MZH105" s="450"/>
      <c r="MZI105" s="450"/>
      <c r="MZJ105" s="450"/>
      <c r="MZK105" s="450"/>
      <c r="MZL105" s="450"/>
      <c r="MZM105" s="450"/>
      <c r="MZN105" s="450"/>
      <c r="MZO105" s="450"/>
      <c r="MZP105" s="450"/>
      <c r="MZQ105" s="450"/>
      <c r="MZR105" s="450"/>
      <c r="MZS105" s="450"/>
      <c r="MZT105" s="450"/>
      <c r="MZU105" s="450"/>
      <c r="MZV105" s="450"/>
      <c r="MZW105" s="450"/>
      <c r="MZX105" s="450"/>
      <c r="MZY105" s="450"/>
      <c r="MZZ105" s="450"/>
      <c r="NAA105" s="450"/>
      <c r="NAB105" s="450"/>
      <c r="NAC105" s="450"/>
      <c r="NAD105" s="450"/>
      <c r="NAE105" s="450"/>
      <c r="NAF105" s="450"/>
      <c r="NAG105" s="450"/>
      <c r="NAH105" s="450"/>
      <c r="NAI105" s="450"/>
      <c r="NAJ105" s="450"/>
      <c r="NAK105" s="450"/>
      <c r="NAL105" s="450"/>
      <c r="NAM105" s="450"/>
      <c r="NAN105" s="450"/>
      <c r="NAO105" s="450"/>
      <c r="NAP105" s="450"/>
      <c r="NAQ105" s="450"/>
      <c r="NAR105" s="450"/>
      <c r="NAS105" s="450"/>
      <c r="NAT105" s="450"/>
      <c r="NAU105" s="450"/>
      <c r="NAV105" s="450"/>
      <c r="NAW105" s="450"/>
      <c r="NAX105" s="450"/>
      <c r="NAY105" s="450"/>
      <c r="NAZ105" s="450"/>
      <c r="NBA105" s="450"/>
      <c r="NBB105" s="450"/>
      <c r="NBC105" s="450"/>
      <c r="NBD105" s="450"/>
      <c r="NBE105" s="450"/>
      <c r="NBF105" s="450"/>
      <c r="NBG105" s="450"/>
      <c r="NBH105" s="450"/>
      <c r="NBI105" s="450"/>
      <c r="NBJ105" s="450"/>
      <c r="NBK105" s="450"/>
      <c r="NBL105" s="450"/>
      <c r="NBM105" s="450"/>
      <c r="NBN105" s="450"/>
      <c r="NBO105" s="450"/>
      <c r="NBP105" s="450"/>
      <c r="NBQ105" s="450"/>
      <c r="NBR105" s="450"/>
      <c r="NBS105" s="450"/>
      <c r="NBT105" s="450"/>
      <c r="NBU105" s="450"/>
      <c r="NBV105" s="450"/>
      <c r="NBW105" s="450"/>
      <c r="NBX105" s="450"/>
      <c r="NBY105" s="450"/>
      <c r="NBZ105" s="450"/>
      <c r="NCA105" s="450"/>
      <c r="NCB105" s="450"/>
      <c r="NCC105" s="450"/>
      <c r="NCD105" s="450"/>
      <c r="NCE105" s="450"/>
      <c r="NCF105" s="450"/>
      <c r="NCG105" s="450"/>
      <c r="NCH105" s="450"/>
      <c r="NCI105" s="450"/>
      <c r="NCJ105" s="450"/>
      <c r="NCK105" s="450"/>
      <c r="NCL105" s="450"/>
      <c r="NCM105" s="450"/>
      <c r="NCN105" s="450"/>
      <c r="NCO105" s="450"/>
      <c r="NCP105" s="450"/>
      <c r="NCQ105" s="450"/>
      <c r="NCR105" s="450"/>
      <c r="NCS105" s="450"/>
      <c r="NCT105" s="450"/>
      <c r="NCU105" s="450"/>
      <c r="NCV105" s="450"/>
      <c r="NCW105" s="450"/>
      <c r="NCX105" s="450"/>
      <c r="NCY105" s="450"/>
      <c r="NCZ105" s="450"/>
      <c r="NDA105" s="450"/>
      <c r="NDB105" s="450"/>
      <c r="NDC105" s="450"/>
      <c r="NDD105" s="450"/>
      <c r="NDE105" s="450"/>
      <c r="NDF105" s="450"/>
      <c r="NDG105" s="450"/>
      <c r="NDH105" s="450"/>
      <c r="NDI105" s="450"/>
      <c r="NDJ105" s="450"/>
      <c r="NDK105" s="450"/>
      <c r="NDL105" s="450"/>
      <c r="NDM105" s="450"/>
      <c r="NDN105" s="450"/>
      <c r="NDO105" s="450"/>
      <c r="NDP105" s="450"/>
      <c r="NDQ105" s="450"/>
      <c r="NDR105" s="450"/>
      <c r="NDS105" s="450"/>
      <c r="NDT105" s="450"/>
      <c r="NDU105" s="450"/>
      <c r="NDV105" s="450"/>
      <c r="NDW105" s="450"/>
      <c r="NDX105" s="450"/>
      <c r="NDY105" s="450"/>
      <c r="NDZ105" s="450"/>
      <c r="NEA105" s="450"/>
      <c r="NEB105" s="450"/>
      <c r="NEC105" s="450"/>
      <c r="NED105" s="450"/>
      <c r="NEE105" s="450"/>
      <c r="NEF105" s="450"/>
      <c r="NEG105" s="450"/>
      <c r="NEH105" s="450"/>
      <c r="NEI105" s="450"/>
      <c r="NEJ105" s="450"/>
      <c r="NEK105" s="450"/>
      <c r="NEL105" s="450"/>
      <c r="NEM105" s="450"/>
      <c r="NEN105" s="450"/>
      <c r="NEO105" s="450"/>
      <c r="NEP105" s="450"/>
      <c r="NEQ105" s="450"/>
      <c r="NER105" s="450"/>
      <c r="NES105" s="450"/>
      <c r="NET105" s="450"/>
      <c r="NEU105" s="450"/>
      <c r="NEV105" s="450"/>
      <c r="NEW105" s="450"/>
      <c r="NEX105" s="450"/>
      <c r="NEY105" s="450"/>
      <c r="NEZ105" s="450"/>
      <c r="NFA105" s="450"/>
      <c r="NFB105" s="450"/>
      <c r="NFC105" s="450"/>
      <c r="NFD105" s="450"/>
      <c r="NFE105" s="450"/>
      <c r="NFF105" s="450"/>
      <c r="NFG105" s="450"/>
      <c r="NFH105" s="450"/>
      <c r="NFI105" s="450"/>
      <c r="NFJ105" s="450"/>
      <c r="NFK105" s="450"/>
      <c r="NFL105" s="450"/>
      <c r="NFM105" s="450"/>
      <c r="NFN105" s="450"/>
      <c r="NFO105" s="450"/>
      <c r="NFP105" s="450"/>
      <c r="NFQ105" s="450"/>
      <c r="NFR105" s="450"/>
      <c r="NFS105" s="450"/>
      <c r="NFT105" s="450"/>
      <c r="NFU105" s="450"/>
      <c r="NFV105" s="450"/>
      <c r="NFW105" s="450"/>
      <c r="NFX105" s="450"/>
      <c r="NFY105" s="450"/>
      <c r="NFZ105" s="450"/>
      <c r="NGA105" s="450"/>
      <c r="NGB105" s="450"/>
      <c r="NGC105" s="450"/>
      <c r="NGD105" s="450"/>
      <c r="NGE105" s="450"/>
      <c r="NGF105" s="450"/>
      <c r="NGG105" s="450"/>
      <c r="NGH105" s="450"/>
      <c r="NGI105" s="450"/>
      <c r="NGJ105" s="450"/>
      <c r="NGK105" s="450"/>
      <c r="NGL105" s="450"/>
      <c r="NGM105" s="450"/>
      <c r="NGN105" s="450"/>
      <c r="NGO105" s="450"/>
      <c r="NGP105" s="450"/>
      <c r="NGQ105" s="450"/>
      <c r="NGR105" s="450"/>
      <c r="NGS105" s="450"/>
      <c r="NGT105" s="450"/>
      <c r="NGU105" s="450"/>
      <c r="NGV105" s="450"/>
      <c r="NGW105" s="450"/>
      <c r="NGX105" s="450"/>
      <c r="NGY105" s="450"/>
      <c r="NGZ105" s="450"/>
      <c r="NHA105" s="450"/>
      <c r="NHB105" s="450"/>
      <c r="NHC105" s="450"/>
      <c r="NHD105" s="450"/>
      <c r="NHE105" s="450"/>
      <c r="NHF105" s="450"/>
      <c r="NHG105" s="450"/>
      <c r="NHH105" s="450"/>
      <c r="NHI105" s="450"/>
      <c r="NHJ105" s="450"/>
      <c r="NHK105" s="450"/>
      <c r="NHL105" s="450"/>
      <c r="NHM105" s="450"/>
      <c r="NHN105" s="450"/>
      <c r="NHO105" s="450"/>
      <c r="NHP105" s="450"/>
      <c r="NHQ105" s="450"/>
      <c r="NHR105" s="450"/>
      <c r="NHS105" s="450"/>
      <c r="NHT105" s="450"/>
      <c r="NHU105" s="450"/>
      <c r="NHV105" s="450"/>
      <c r="NHW105" s="450"/>
      <c r="NHX105" s="450"/>
      <c r="NHY105" s="450"/>
      <c r="NHZ105" s="450"/>
      <c r="NIA105" s="450"/>
      <c r="NIB105" s="450"/>
      <c r="NIC105" s="450"/>
      <c r="NID105" s="450"/>
      <c r="NIE105" s="450"/>
      <c r="NIF105" s="450"/>
      <c r="NIG105" s="450"/>
      <c r="NIH105" s="450"/>
      <c r="NII105" s="450"/>
      <c r="NIJ105" s="450"/>
      <c r="NIK105" s="450"/>
      <c r="NIL105" s="450"/>
      <c r="NIM105" s="450"/>
      <c r="NIN105" s="450"/>
      <c r="NIO105" s="450"/>
      <c r="NIP105" s="450"/>
      <c r="NIQ105" s="450"/>
      <c r="NIR105" s="450"/>
      <c r="NIS105" s="450"/>
      <c r="NIT105" s="450"/>
      <c r="NIU105" s="450"/>
      <c r="NIV105" s="450"/>
      <c r="NIW105" s="450"/>
      <c r="NIX105" s="450"/>
      <c r="NIY105" s="450"/>
      <c r="NIZ105" s="450"/>
      <c r="NJA105" s="450"/>
      <c r="NJB105" s="450"/>
      <c r="NJC105" s="450"/>
      <c r="NJD105" s="450"/>
      <c r="NJE105" s="450"/>
      <c r="NJF105" s="450"/>
      <c r="NJG105" s="450"/>
      <c r="NJH105" s="450"/>
      <c r="NJI105" s="450"/>
      <c r="NJJ105" s="450"/>
      <c r="NJK105" s="450"/>
      <c r="NJL105" s="450"/>
      <c r="NJM105" s="450"/>
      <c r="NJN105" s="450"/>
      <c r="NJO105" s="450"/>
      <c r="NJP105" s="450"/>
      <c r="NJQ105" s="450"/>
      <c r="NJR105" s="450"/>
      <c r="NJS105" s="450"/>
      <c r="NJT105" s="450"/>
      <c r="NJU105" s="450"/>
      <c r="NJV105" s="450"/>
      <c r="NJW105" s="450"/>
      <c r="NJX105" s="450"/>
      <c r="NJY105" s="450"/>
      <c r="NJZ105" s="450"/>
      <c r="NKA105" s="450"/>
      <c r="NKB105" s="450"/>
      <c r="NKC105" s="450"/>
      <c r="NKD105" s="450"/>
      <c r="NKE105" s="450"/>
      <c r="NKF105" s="450"/>
      <c r="NKG105" s="450"/>
      <c r="NKH105" s="450"/>
      <c r="NKI105" s="450"/>
      <c r="NKJ105" s="450"/>
      <c r="NKK105" s="450"/>
      <c r="NKL105" s="450"/>
      <c r="NKM105" s="450"/>
      <c r="NKN105" s="450"/>
      <c r="NKO105" s="450"/>
      <c r="NKP105" s="450"/>
      <c r="NKQ105" s="450"/>
      <c r="NKR105" s="450"/>
      <c r="NKS105" s="450"/>
      <c r="NKT105" s="450"/>
      <c r="NKU105" s="450"/>
      <c r="NKV105" s="450"/>
      <c r="NKW105" s="450"/>
      <c r="NKX105" s="450"/>
      <c r="NKY105" s="450"/>
      <c r="NKZ105" s="450"/>
      <c r="NLA105" s="450"/>
      <c r="NLB105" s="450"/>
      <c r="NLC105" s="450"/>
      <c r="NLD105" s="450"/>
      <c r="NLE105" s="450"/>
      <c r="NLF105" s="450"/>
      <c r="NLG105" s="450"/>
      <c r="NLH105" s="450"/>
      <c r="NLI105" s="450"/>
      <c r="NLJ105" s="450"/>
      <c r="NLK105" s="450"/>
      <c r="NLL105" s="450"/>
      <c r="NLM105" s="450"/>
      <c r="NLN105" s="450"/>
      <c r="NLO105" s="450"/>
      <c r="NLP105" s="450"/>
      <c r="NLQ105" s="450"/>
      <c r="NLR105" s="450"/>
      <c r="NLS105" s="450"/>
      <c r="NLT105" s="450"/>
      <c r="NLU105" s="450"/>
      <c r="NLV105" s="450"/>
      <c r="NLW105" s="450"/>
      <c r="NLX105" s="450"/>
      <c r="NLY105" s="450"/>
      <c r="NLZ105" s="450"/>
      <c r="NMA105" s="450"/>
      <c r="NMB105" s="450"/>
      <c r="NMC105" s="450"/>
      <c r="NMD105" s="450"/>
      <c r="NME105" s="450"/>
      <c r="NMF105" s="450"/>
      <c r="NMG105" s="450"/>
      <c r="NMH105" s="450"/>
      <c r="NMI105" s="450"/>
      <c r="NMJ105" s="450"/>
      <c r="NMK105" s="450"/>
      <c r="NML105" s="450"/>
      <c r="NMM105" s="450"/>
      <c r="NMN105" s="450"/>
      <c r="NMO105" s="450"/>
      <c r="NMP105" s="450"/>
      <c r="NMQ105" s="450"/>
      <c r="NMR105" s="450"/>
      <c r="NMS105" s="450"/>
      <c r="NMT105" s="450"/>
      <c r="NMU105" s="450"/>
      <c r="NMV105" s="450"/>
      <c r="NMW105" s="450"/>
      <c r="NMX105" s="450"/>
      <c r="NMY105" s="450"/>
      <c r="NMZ105" s="450"/>
      <c r="NNA105" s="450"/>
      <c r="NNB105" s="450"/>
      <c r="NNC105" s="450"/>
      <c r="NND105" s="450"/>
      <c r="NNE105" s="450"/>
      <c r="NNF105" s="450"/>
      <c r="NNG105" s="450"/>
      <c r="NNH105" s="450"/>
      <c r="NNI105" s="450"/>
      <c r="NNJ105" s="450"/>
      <c r="NNK105" s="450"/>
      <c r="NNL105" s="450"/>
      <c r="NNM105" s="450"/>
      <c r="NNN105" s="450"/>
      <c r="NNO105" s="450"/>
      <c r="NNP105" s="450"/>
      <c r="NNQ105" s="450"/>
      <c r="NNR105" s="450"/>
      <c r="NNS105" s="450"/>
      <c r="NNT105" s="450"/>
      <c r="NNU105" s="450"/>
      <c r="NNV105" s="450"/>
      <c r="NNW105" s="450"/>
      <c r="NNX105" s="450"/>
      <c r="NNY105" s="450"/>
      <c r="NNZ105" s="450"/>
      <c r="NOA105" s="450"/>
      <c r="NOB105" s="450"/>
      <c r="NOC105" s="450"/>
      <c r="NOD105" s="450"/>
      <c r="NOE105" s="450"/>
      <c r="NOF105" s="450"/>
      <c r="NOG105" s="450"/>
      <c r="NOH105" s="450"/>
      <c r="NOI105" s="450"/>
      <c r="NOJ105" s="450"/>
      <c r="NOK105" s="450"/>
      <c r="NOL105" s="450"/>
      <c r="NOM105" s="450"/>
      <c r="NON105" s="450"/>
      <c r="NOO105" s="450"/>
      <c r="NOP105" s="450"/>
      <c r="NOQ105" s="450"/>
      <c r="NOR105" s="450"/>
      <c r="NOS105" s="450"/>
      <c r="NOT105" s="450"/>
      <c r="NOU105" s="450"/>
      <c r="NOV105" s="450"/>
      <c r="NOW105" s="450"/>
      <c r="NOX105" s="450"/>
      <c r="NOY105" s="450"/>
      <c r="NOZ105" s="450"/>
      <c r="NPA105" s="450"/>
      <c r="NPB105" s="450"/>
      <c r="NPC105" s="450"/>
      <c r="NPD105" s="450"/>
      <c r="NPE105" s="450"/>
      <c r="NPF105" s="450"/>
      <c r="NPG105" s="450"/>
      <c r="NPH105" s="450"/>
      <c r="NPI105" s="450"/>
      <c r="NPJ105" s="450"/>
      <c r="NPK105" s="450"/>
      <c r="NPL105" s="450"/>
      <c r="NPM105" s="450"/>
      <c r="NPN105" s="450"/>
      <c r="NPO105" s="450"/>
      <c r="NPP105" s="450"/>
      <c r="NPQ105" s="450"/>
      <c r="NPR105" s="450"/>
      <c r="NPS105" s="450"/>
      <c r="NPT105" s="450"/>
      <c r="NPU105" s="450"/>
      <c r="NPV105" s="450"/>
      <c r="NPW105" s="450"/>
      <c r="NPX105" s="450"/>
      <c r="NPY105" s="450"/>
      <c r="NPZ105" s="450"/>
      <c r="NQA105" s="450"/>
      <c r="NQB105" s="450"/>
      <c r="NQC105" s="450"/>
      <c r="NQD105" s="450"/>
      <c r="NQE105" s="450"/>
      <c r="NQF105" s="450"/>
      <c r="NQG105" s="450"/>
      <c r="NQH105" s="450"/>
      <c r="NQI105" s="450"/>
      <c r="NQJ105" s="450"/>
      <c r="NQK105" s="450"/>
      <c r="NQL105" s="450"/>
      <c r="NQM105" s="450"/>
      <c r="NQN105" s="450"/>
      <c r="NQO105" s="450"/>
      <c r="NQP105" s="450"/>
      <c r="NQQ105" s="450"/>
      <c r="NQR105" s="450"/>
      <c r="NQS105" s="450"/>
      <c r="NQT105" s="450"/>
      <c r="NQU105" s="450"/>
      <c r="NQV105" s="450"/>
      <c r="NQW105" s="450"/>
      <c r="NQX105" s="450"/>
      <c r="NQY105" s="450"/>
      <c r="NQZ105" s="450"/>
      <c r="NRA105" s="450"/>
      <c r="NRB105" s="450"/>
      <c r="NRC105" s="450"/>
      <c r="NRD105" s="450"/>
      <c r="NRE105" s="450"/>
      <c r="NRF105" s="450"/>
      <c r="NRG105" s="450"/>
      <c r="NRH105" s="450"/>
      <c r="NRI105" s="450"/>
      <c r="NRJ105" s="450"/>
      <c r="NRK105" s="450"/>
      <c r="NRL105" s="450"/>
      <c r="NRM105" s="450"/>
      <c r="NRN105" s="450"/>
      <c r="NRO105" s="450"/>
      <c r="NRP105" s="450"/>
      <c r="NRQ105" s="450"/>
      <c r="NRR105" s="450"/>
      <c r="NRS105" s="450"/>
      <c r="NRT105" s="450"/>
      <c r="NRU105" s="450"/>
      <c r="NRV105" s="450"/>
      <c r="NRW105" s="450"/>
      <c r="NRX105" s="450"/>
      <c r="NRY105" s="450"/>
      <c r="NRZ105" s="450"/>
      <c r="NSA105" s="450"/>
      <c r="NSB105" s="450"/>
      <c r="NSC105" s="450"/>
      <c r="NSD105" s="450"/>
      <c r="NSE105" s="450"/>
      <c r="NSF105" s="450"/>
      <c r="NSG105" s="450"/>
      <c r="NSH105" s="450"/>
      <c r="NSI105" s="450"/>
      <c r="NSJ105" s="450"/>
      <c r="NSK105" s="450"/>
      <c r="NSL105" s="450"/>
      <c r="NSM105" s="450"/>
      <c r="NSN105" s="450"/>
      <c r="NSO105" s="450"/>
      <c r="NSP105" s="450"/>
      <c r="NSQ105" s="450"/>
      <c r="NSR105" s="450"/>
      <c r="NSS105" s="450"/>
      <c r="NST105" s="450"/>
      <c r="NSU105" s="450"/>
      <c r="NSV105" s="450"/>
      <c r="NSW105" s="450"/>
      <c r="NSX105" s="450"/>
      <c r="NSY105" s="450"/>
      <c r="NSZ105" s="450"/>
      <c r="NTA105" s="450"/>
      <c r="NTB105" s="450"/>
      <c r="NTC105" s="450"/>
      <c r="NTD105" s="450"/>
      <c r="NTE105" s="450"/>
      <c r="NTF105" s="450"/>
      <c r="NTG105" s="450"/>
      <c r="NTH105" s="450"/>
      <c r="NTI105" s="450"/>
      <c r="NTJ105" s="450"/>
      <c r="NTK105" s="450"/>
      <c r="NTL105" s="450"/>
      <c r="NTM105" s="450"/>
      <c r="NTN105" s="450"/>
      <c r="NTO105" s="450"/>
      <c r="NTP105" s="450"/>
      <c r="NTQ105" s="450"/>
      <c r="NTR105" s="450"/>
      <c r="NTS105" s="450"/>
      <c r="NTT105" s="450"/>
      <c r="NTU105" s="450"/>
      <c r="NTV105" s="450"/>
      <c r="NTW105" s="450"/>
      <c r="NTX105" s="450"/>
      <c r="NTY105" s="450"/>
      <c r="NTZ105" s="450"/>
      <c r="NUA105" s="450"/>
      <c r="NUB105" s="450"/>
      <c r="NUC105" s="450"/>
      <c r="NUD105" s="450"/>
      <c r="NUE105" s="450"/>
      <c r="NUF105" s="450"/>
      <c r="NUG105" s="450"/>
      <c r="NUH105" s="450"/>
      <c r="NUI105" s="450"/>
      <c r="NUJ105" s="450"/>
      <c r="NUK105" s="450"/>
      <c r="NUL105" s="450"/>
      <c r="NUM105" s="450"/>
      <c r="NUN105" s="450"/>
      <c r="NUO105" s="450"/>
      <c r="NUP105" s="450"/>
      <c r="NUQ105" s="450"/>
      <c r="NUR105" s="450"/>
      <c r="NUS105" s="450"/>
      <c r="NUT105" s="450"/>
      <c r="NUU105" s="450"/>
      <c r="NUV105" s="450"/>
      <c r="NUW105" s="450"/>
      <c r="NUX105" s="450"/>
      <c r="NUY105" s="450"/>
      <c r="NUZ105" s="450"/>
      <c r="NVA105" s="450"/>
      <c r="NVB105" s="450"/>
      <c r="NVC105" s="450"/>
      <c r="NVD105" s="450"/>
      <c r="NVE105" s="450"/>
      <c r="NVF105" s="450"/>
      <c r="NVG105" s="450"/>
      <c r="NVH105" s="450"/>
      <c r="NVI105" s="450"/>
      <c r="NVJ105" s="450"/>
      <c r="NVK105" s="450"/>
      <c r="NVL105" s="450"/>
      <c r="NVM105" s="450"/>
      <c r="NVN105" s="450"/>
      <c r="NVO105" s="450"/>
      <c r="NVP105" s="450"/>
      <c r="NVQ105" s="450"/>
      <c r="NVR105" s="450"/>
      <c r="NVS105" s="450"/>
      <c r="NVT105" s="450"/>
      <c r="NVU105" s="450"/>
      <c r="NVV105" s="450"/>
      <c r="NVW105" s="450"/>
      <c r="NVX105" s="450"/>
      <c r="NVY105" s="450"/>
      <c r="NVZ105" s="450"/>
      <c r="NWA105" s="450"/>
      <c r="NWB105" s="450"/>
      <c r="NWC105" s="450"/>
      <c r="NWD105" s="450"/>
      <c r="NWE105" s="450"/>
      <c r="NWF105" s="450"/>
      <c r="NWG105" s="450"/>
      <c r="NWH105" s="450"/>
      <c r="NWI105" s="450"/>
      <c r="NWJ105" s="450"/>
      <c r="NWK105" s="450"/>
      <c r="NWL105" s="450"/>
      <c r="NWM105" s="450"/>
      <c r="NWN105" s="450"/>
      <c r="NWO105" s="450"/>
      <c r="NWP105" s="450"/>
      <c r="NWQ105" s="450"/>
      <c r="NWR105" s="450"/>
      <c r="NWS105" s="450"/>
      <c r="NWT105" s="450"/>
      <c r="NWU105" s="450"/>
      <c r="NWV105" s="450"/>
      <c r="NWW105" s="450"/>
      <c r="NWX105" s="450"/>
      <c r="NWY105" s="450"/>
      <c r="NWZ105" s="450"/>
      <c r="NXA105" s="450"/>
      <c r="NXB105" s="450"/>
      <c r="NXC105" s="450"/>
      <c r="NXD105" s="450"/>
      <c r="NXE105" s="450"/>
      <c r="NXF105" s="450"/>
      <c r="NXG105" s="450"/>
      <c r="NXH105" s="450"/>
      <c r="NXI105" s="450"/>
      <c r="NXJ105" s="450"/>
      <c r="NXK105" s="450"/>
      <c r="NXL105" s="450"/>
      <c r="NXM105" s="450"/>
      <c r="NXN105" s="450"/>
      <c r="NXO105" s="450"/>
      <c r="NXP105" s="450"/>
      <c r="NXQ105" s="450"/>
      <c r="NXR105" s="450"/>
      <c r="NXS105" s="450"/>
      <c r="NXT105" s="450"/>
      <c r="NXU105" s="450"/>
      <c r="NXV105" s="450"/>
      <c r="NXW105" s="450"/>
      <c r="NXX105" s="450"/>
      <c r="NXY105" s="450"/>
      <c r="NXZ105" s="450"/>
      <c r="NYA105" s="450"/>
      <c r="NYB105" s="450"/>
      <c r="NYC105" s="450"/>
      <c r="NYD105" s="450"/>
      <c r="NYE105" s="450"/>
      <c r="NYF105" s="450"/>
      <c r="NYG105" s="450"/>
      <c r="NYH105" s="450"/>
      <c r="NYI105" s="450"/>
      <c r="NYJ105" s="450"/>
      <c r="NYK105" s="450"/>
      <c r="NYL105" s="450"/>
      <c r="NYM105" s="450"/>
      <c r="NYN105" s="450"/>
      <c r="NYO105" s="450"/>
      <c r="NYP105" s="450"/>
      <c r="NYQ105" s="450"/>
      <c r="NYR105" s="450"/>
      <c r="NYS105" s="450"/>
      <c r="NYT105" s="450"/>
      <c r="NYU105" s="450"/>
      <c r="NYV105" s="450"/>
      <c r="NYW105" s="450"/>
      <c r="NYX105" s="450"/>
      <c r="NYY105" s="450"/>
      <c r="NYZ105" s="450"/>
      <c r="NZA105" s="450"/>
      <c r="NZB105" s="450"/>
      <c r="NZC105" s="450"/>
      <c r="NZD105" s="450"/>
      <c r="NZE105" s="450"/>
      <c r="NZF105" s="450"/>
      <c r="NZG105" s="450"/>
      <c r="NZH105" s="450"/>
      <c r="NZI105" s="450"/>
      <c r="NZJ105" s="450"/>
      <c r="NZK105" s="450"/>
      <c r="NZL105" s="450"/>
      <c r="NZM105" s="450"/>
      <c r="NZN105" s="450"/>
      <c r="NZO105" s="450"/>
      <c r="NZP105" s="450"/>
      <c r="NZQ105" s="450"/>
      <c r="NZR105" s="450"/>
      <c r="NZS105" s="450"/>
      <c r="NZT105" s="450"/>
      <c r="NZU105" s="450"/>
      <c r="NZV105" s="450"/>
      <c r="NZW105" s="450"/>
      <c r="NZX105" s="450"/>
      <c r="NZY105" s="450"/>
      <c r="NZZ105" s="450"/>
      <c r="OAA105" s="450"/>
      <c r="OAB105" s="450"/>
      <c r="OAC105" s="450"/>
      <c r="OAD105" s="450"/>
      <c r="OAE105" s="450"/>
      <c r="OAF105" s="450"/>
      <c r="OAG105" s="450"/>
      <c r="OAH105" s="450"/>
      <c r="OAI105" s="450"/>
      <c r="OAJ105" s="450"/>
      <c r="OAK105" s="450"/>
      <c r="OAL105" s="450"/>
      <c r="OAM105" s="450"/>
      <c r="OAN105" s="450"/>
      <c r="OAO105" s="450"/>
      <c r="OAP105" s="450"/>
      <c r="OAQ105" s="450"/>
      <c r="OAR105" s="450"/>
      <c r="OAS105" s="450"/>
      <c r="OAT105" s="450"/>
      <c r="OAU105" s="450"/>
      <c r="OAV105" s="450"/>
      <c r="OAW105" s="450"/>
      <c r="OAX105" s="450"/>
      <c r="OAY105" s="450"/>
      <c r="OAZ105" s="450"/>
      <c r="OBA105" s="450"/>
      <c r="OBB105" s="450"/>
      <c r="OBC105" s="450"/>
      <c r="OBD105" s="450"/>
      <c r="OBE105" s="450"/>
      <c r="OBF105" s="450"/>
      <c r="OBG105" s="450"/>
      <c r="OBH105" s="450"/>
      <c r="OBI105" s="450"/>
      <c r="OBJ105" s="450"/>
      <c r="OBK105" s="450"/>
      <c r="OBL105" s="450"/>
      <c r="OBM105" s="450"/>
      <c r="OBN105" s="450"/>
      <c r="OBO105" s="450"/>
      <c r="OBP105" s="450"/>
      <c r="OBQ105" s="450"/>
      <c r="OBR105" s="450"/>
      <c r="OBS105" s="450"/>
      <c r="OBT105" s="450"/>
      <c r="OBU105" s="450"/>
      <c r="OBV105" s="450"/>
      <c r="OBW105" s="450"/>
      <c r="OBX105" s="450"/>
      <c r="OBY105" s="450"/>
      <c r="OBZ105" s="450"/>
      <c r="OCA105" s="450"/>
      <c r="OCB105" s="450"/>
      <c r="OCC105" s="450"/>
      <c r="OCD105" s="450"/>
      <c r="OCE105" s="450"/>
      <c r="OCF105" s="450"/>
      <c r="OCG105" s="450"/>
      <c r="OCH105" s="450"/>
      <c r="OCI105" s="450"/>
      <c r="OCJ105" s="450"/>
      <c r="OCK105" s="450"/>
      <c r="OCL105" s="450"/>
      <c r="OCM105" s="450"/>
      <c r="OCN105" s="450"/>
      <c r="OCO105" s="450"/>
      <c r="OCP105" s="450"/>
      <c r="OCQ105" s="450"/>
      <c r="OCR105" s="450"/>
      <c r="OCS105" s="450"/>
      <c r="OCT105" s="450"/>
      <c r="OCU105" s="450"/>
      <c r="OCV105" s="450"/>
      <c r="OCW105" s="450"/>
      <c r="OCX105" s="450"/>
      <c r="OCY105" s="450"/>
      <c r="OCZ105" s="450"/>
      <c r="ODA105" s="450"/>
      <c r="ODB105" s="450"/>
      <c r="ODC105" s="450"/>
      <c r="ODD105" s="450"/>
      <c r="ODE105" s="450"/>
      <c r="ODF105" s="450"/>
      <c r="ODG105" s="450"/>
      <c r="ODH105" s="450"/>
      <c r="ODI105" s="450"/>
      <c r="ODJ105" s="450"/>
      <c r="ODK105" s="450"/>
      <c r="ODL105" s="450"/>
      <c r="ODM105" s="450"/>
      <c r="ODN105" s="450"/>
      <c r="ODO105" s="450"/>
      <c r="ODP105" s="450"/>
      <c r="ODQ105" s="450"/>
      <c r="ODR105" s="450"/>
      <c r="ODS105" s="450"/>
      <c r="ODT105" s="450"/>
      <c r="ODU105" s="450"/>
      <c r="ODV105" s="450"/>
      <c r="ODW105" s="450"/>
      <c r="ODX105" s="450"/>
      <c r="ODY105" s="450"/>
      <c r="ODZ105" s="450"/>
      <c r="OEA105" s="450"/>
      <c r="OEB105" s="450"/>
      <c r="OEC105" s="450"/>
      <c r="OED105" s="450"/>
      <c r="OEE105" s="450"/>
      <c r="OEF105" s="450"/>
      <c r="OEG105" s="450"/>
      <c r="OEH105" s="450"/>
      <c r="OEI105" s="450"/>
      <c r="OEJ105" s="450"/>
      <c r="OEK105" s="450"/>
      <c r="OEL105" s="450"/>
      <c r="OEM105" s="450"/>
      <c r="OEN105" s="450"/>
      <c r="OEO105" s="450"/>
      <c r="OEP105" s="450"/>
      <c r="OEQ105" s="450"/>
      <c r="OER105" s="450"/>
      <c r="OES105" s="450"/>
      <c r="OET105" s="450"/>
      <c r="OEU105" s="450"/>
      <c r="OEV105" s="450"/>
      <c r="OEW105" s="450"/>
      <c r="OEX105" s="450"/>
      <c r="OEY105" s="450"/>
      <c r="OEZ105" s="450"/>
      <c r="OFA105" s="450"/>
      <c r="OFB105" s="450"/>
      <c r="OFC105" s="450"/>
      <c r="OFD105" s="450"/>
      <c r="OFE105" s="450"/>
      <c r="OFF105" s="450"/>
      <c r="OFG105" s="450"/>
      <c r="OFH105" s="450"/>
      <c r="OFI105" s="450"/>
      <c r="OFJ105" s="450"/>
      <c r="OFK105" s="450"/>
      <c r="OFL105" s="450"/>
      <c r="OFM105" s="450"/>
      <c r="OFN105" s="450"/>
      <c r="OFO105" s="450"/>
      <c r="OFP105" s="450"/>
      <c r="OFQ105" s="450"/>
      <c r="OFR105" s="450"/>
      <c r="OFS105" s="450"/>
      <c r="OFT105" s="450"/>
      <c r="OFU105" s="450"/>
      <c r="OFV105" s="450"/>
      <c r="OFW105" s="450"/>
      <c r="OFX105" s="450"/>
      <c r="OFY105" s="450"/>
      <c r="OFZ105" s="450"/>
      <c r="OGA105" s="450"/>
      <c r="OGB105" s="450"/>
      <c r="OGC105" s="450"/>
      <c r="OGD105" s="450"/>
      <c r="OGE105" s="450"/>
      <c r="OGF105" s="450"/>
      <c r="OGG105" s="450"/>
      <c r="OGH105" s="450"/>
      <c r="OGI105" s="450"/>
      <c r="OGJ105" s="450"/>
      <c r="OGK105" s="450"/>
      <c r="OGL105" s="450"/>
      <c r="OGM105" s="450"/>
      <c r="OGN105" s="450"/>
      <c r="OGO105" s="450"/>
      <c r="OGP105" s="450"/>
      <c r="OGQ105" s="450"/>
      <c r="OGR105" s="450"/>
      <c r="OGS105" s="450"/>
      <c r="OGT105" s="450"/>
      <c r="OGU105" s="450"/>
      <c r="OGV105" s="450"/>
      <c r="OGW105" s="450"/>
      <c r="OGX105" s="450"/>
      <c r="OGY105" s="450"/>
      <c r="OGZ105" s="450"/>
      <c r="OHA105" s="450"/>
      <c r="OHB105" s="450"/>
      <c r="OHC105" s="450"/>
      <c r="OHD105" s="450"/>
      <c r="OHE105" s="450"/>
      <c r="OHF105" s="450"/>
      <c r="OHG105" s="450"/>
      <c r="OHH105" s="450"/>
      <c r="OHI105" s="450"/>
      <c r="OHJ105" s="450"/>
      <c r="OHK105" s="450"/>
      <c r="OHL105" s="450"/>
      <c r="OHM105" s="450"/>
      <c r="OHN105" s="450"/>
      <c r="OHO105" s="450"/>
      <c r="OHP105" s="450"/>
      <c r="OHQ105" s="450"/>
      <c r="OHR105" s="450"/>
      <c r="OHS105" s="450"/>
      <c r="OHT105" s="450"/>
      <c r="OHU105" s="450"/>
      <c r="OHV105" s="450"/>
      <c r="OHW105" s="450"/>
      <c r="OHX105" s="450"/>
      <c r="OHY105" s="450"/>
      <c r="OHZ105" s="450"/>
      <c r="OIA105" s="450"/>
      <c r="OIB105" s="450"/>
      <c r="OIC105" s="450"/>
      <c r="OID105" s="450"/>
      <c r="OIE105" s="450"/>
      <c r="OIF105" s="450"/>
      <c r="OIG105" s="450"/>
      <c r="OIH105" s="450"/>
      <c r="OII105" s="450"/>
      <c r="OIJ105" s="450"/>
      <c r="OIK105" s="450"/>
      <c r="OIL105" s="450"/>
      <c r="OIM105" s="450"/>
      <c r="OIN105" s="450"/>
      <c r="OIO105" s="450"/>
      <c r="OIP105" s="450"/>
      <c r="OIQ105" s="450"/>
      <c r="OIR105" s="450"/>
      <c r="OIS105" s="450"/>
      <c r="OIT105" s="450"/>
      <c r="OIU105" s="450"/>
      <c r="OIV105" s="450"/>
      <c r="OIW105" s="450"/>
      <c r="OIX105" s="450"/>
      <c r="OIY105" s="450"/>
      <c r="OIZ105" s="450"/>
      <c r="OJA105" s="450"/>
      <c r="OJB105" s="450"/>
      <c r="OJC105" s="450"/>
      <c r="OJD105" s="450"/>
      <c r="OJE105" s="450"/>
      <c r="OJF105" s="450"/>
      <c r="OJG105" s="450"/>
      <c r="OJH105" s="450"/>
      <c r="OJI105" s="450"/>
      <c r="OJJ105" s="450"/>
      <c r="OJK105" s="450"/>
      <c r="OJL105" s="450"/>
      <c r="OJM105" s="450"/>
      <c r="OJN105" s="450"/>
      <c r="OJO105" s="450"/>
      <c r="OJP105" s="450"/>
      <c r="OJQ105" s="450"/>
      <c r="OJR105" s="450"/>
      <c r="OJS105" s="450"/>
      <c r="OJT105" s="450"/>
      <c r="OJU105" s="450"/>
      <c r="OJV105" s="450"/>
      <c r="OJW105" s="450"/>
      <c r="OJX105" s="450"/>
      <c r="OJY105" s="450"/>
      <c r="OJZ105" s="450"/>
      <c r="OKA105" s="450"/>
      <c r="OKB105" s="450"/>
      <c r="OKC105" s="450"/>
      <c r="OKD105" s="450"/>
      <c r="OKE105" s="450"/>
      <c r="OKF105" s="450"/>
      <c r="OKG105" s="450"/>
      <c r="OKH105" s="450"/>
      <c r="OKI105" s="450"/>
      <c r="OKJ105" s="450"/>
      <c r="OKK105" s="450"/>
      <c r="OKL105" s="450"/>
      <c r="OKM105" s="450"/>
      <c r="OKN105" s="450"/>
      <c r="OKO105" s="450"/>
      <c r="OKP105" s="450"/>
      <c r="OKQ105" s="450"/>
      <c r="OKR105" s="450"/>
      <c r="OKS105" s="450"/>
      <c r="OKT105" s="450"/>
      <c r="OKU105" s="450"/>
      <c r="OKV105" s="450"/>
      <c r="OKW105" s="450"/>
      <c r="OKX105" s="450"/>
      <c r="OKY105" s="450"/>
      <c r="OKZ105" s="450"/>
      <c r="OLA105" s="450"/>
      <c r="OLB105" s="450"/>
      <c r="OLC105" s="450"/>
      <c r="OLD105" s="450"/>
      <c r="OLE105" s="450"/>
      <c r="OLF105" s="450"/>
      <c r="OLG105" s="450"/>
      <c r="OLH105" s="450"/>
      <c r="OLI105" s="450"/>
      <c r="OLJ105" s="450"/>
      <c r="OLK105" s="450"/>
      <c r="OLL105" s="450"/>
      <c r="OLM105" s="450"/>
      <c r="OLN105" s="450"/>
      <c r="OLO105" s="450"/>
      <c r="OLP105" s="450"/>
      <c r="OLQ105" s="450"/>
      <c r="OLR105" s="450"/>
      <c r="OLS105" s="450"/>
      <c r="OLT105" s="450"/>
      <c r="OLU105" s="450"/>
      <c r="OLV105" s="450"/>
      <c r="OLW105" s="450"/>
      <c r="OLX105" s="450"/>
      <c r="OLY105" s="450"/>
      <c r="OLZ105" s="450"/>
      <c r="OMA105" s="450"/>
      <c r="OMB105" s="450"/>
      <c r="OMC105" s="450"/>
      <c r="OMD105" s="450"/>
      <c r="OME105" s="450"/>
      <c r="OMF105" s="450"/>
      <c r="OMG105" s="450"/>
      <c r="OMH105" s="450"/>
      <c r="OMI105" s="450"/>
      <c r="OMJ105" s="450"/>
      <c r="OMK105" s="450"/>
      <c r="OML105" s="450"/>
      <c r="OMM105" s="450"/>
      <c r="OMN105" s="450"/>
      <c r="OMO105" s="450"/>
      <c r="OMP105" s="450"/>
      <c r="OMQ105" s="450"/>
      <c r="OMR105" s="450"/>
      <c r="OMS105" s="450"/>
      <c r="OMT105" s="450"/>
      <c r="OMU105" s="450"/>
      <c r="OMV105" s="450"/>
      <c r="OMW105" s="450"/>
      <c r="OMX105" s="450"/>
      <c r="OMY105" s="450"/>
      <c r="OMZ105" s="450"/>
      <c r="ONA105" s="450"/>
      <c r="ONB105" s="450"/>
      <c r="ONC105" s="450"/>
      <c r="OND105" s="450"/>
      <c r="ONE105" s="450"/>
      <c r="ONF105" s="450"/>
      <c r="ONG105" s="450"/>
      <c r="ONH105" s="450"/>
      <c r="ONI105" s="450"/>
      <c r="ONJ105" s="450"/>
      <c r="ONK105" s="450"/>
      <c r="ONL105" s="450"/>
      <c r="ONM105" s="450"/>
      <c r="ONN105" s="450"/>
      <c r="ONO105" s="450"/>
      <c r="ONP105" s="450"/>
      <c r="ONQ105" s="450"/>
      <c r="ONR105" s="450"/>
      <c r="ONS105" s="450"/>
      <c r="ONT105" s="450"/>
      <c r="ONU105" s="450"/>
      <c r="ONV105" s="450"/>
      <c r="ONW105" s="450"/>
      <c r="ONX105" s="450"/>
      <c r="ONY105" s="450"/>
      <c r="ONZ105" s="450"/>
      <c r="OOA105" s="450"/>
      <c r="OOB105" s="450"/>
      <c r="OOC105" s="450"/>
      <c r="OOD105" s="450"/>
      <c r="OOE105" s="450"/>
      <c r="OOF105" s="450"/>
      <c r="OOG105" s="450"/>
      <c r="OOH105" s="450"/>
      <c r="OOI105" s="450"/>
      <c r="OOJ105" s="450"/>
      <c r="OOK105" s="450"/>
      <c r="OOL105" s="450"/>
      <c r="OOM105" s="450"/>
      <c r="OON105" s="450"/>
      <c r="OOO105" s="450"/>
      <c r="OOP105" s="450"/>
      <c r="OOQ105" s="450"/>
      <c r="OOR105" s="450"/>
      <c r="OOS105" s="450"/>
      <c r="OOT105" s="450"/>
      <c r="OOU105" s="450"/>
      <c r="OOV105" s="450"/>
      <c r="OOW105" s="450"/>
      <c r="OOX105" s="450"/>
      <c r="OOY105" s="450"/>
      <c r="OOZ105" s="450"/>
      <c r="OPA105" s="450"/>
      <c r="OPB105" s="450"/>
      <c r="OPC105" s="450"/>
      <c r="OPD105" s="450"/>
      <c r="OPE105" s="450"/>
      <c r="OPF105" s="450"/>
      <c r="OPG105" s="450"/>
      <c r="OPH105" s="450"/>
      <c r="OPI105" s="450"/>
      <c r="OPJ105" s="450"/>
      <c r="OPK105" s="450"/>
      <c r="OPL105" s="450"/>
      <c r="OPM105" s="450"/>
      <c r="OPN105" s="450"/>
      <c r="OPO105" s="450"/>
      <c r="OPP105" s="450"/>
      <c r="OPQ105" s="450"/>
      <c r="OPR105" s="450"/>
      <c r="OPS105" s="450"/>
      <c r="OPT105" s="450"/>
      <c r="OPU105" s="450"/>
      <c r="OPV105" s="450"/>
      <c r="OPW105" s="450"/>
      <c r="OPX105" s="450"/>
      <c r="OPY105" s="450"/>
      <c r="OPZ105" s="450"/>
      <c r="OQA105" s="450"/>
      <c r="OQB105" s="450"/>
      <c r="OQC105" s="450"/>
      <c r="OQD105" s="450"/>
      <c r="OQE105" s="450"/>
      <c r="OQF105" s="450"/>
      <c r="OQG105" s="450"/>
      <c r="OQH105" s="450"/>
      <c r="OQI105" s="450"/>
      <c r="OQJ105" s="450"/>
      <c r="OQK105" s="450"/>
      <c r="OQL105" s="450"/>
      <c r="OQM105" s="450"/>
      <c r="OQN105" s="450"/>
      <c r="OQO105" s="450"/>
      <c r="OQP105" s="450"/>
      <c r="OQQ105" s="450"/>
      <c r="OQR105" s="450"/>
      <c r="OQS105" s="450"/>
      <c r="OQT105" s="450"/>
      <c r="OQU105" s="450"/>
      <c r="OQV105" s="450"/>
      <c r="OQW105" s="450"/>
      <c r="OQX105" s="450"/>
      <c r="OQY105" s="450"/>
      <c r="OQZ105" s="450"/>
      <c r="ORA105" s="450"/>
      <c r="ORB105" s="450"/>
      <c r="ORC105" s="450"/>
      <c r="ORD105" s="450"/>
      <c r="ORE105" s="450"/>
      <c r="ORF105" s="450"/>
      <c r="ORG105" s="450"/>
      <c r="ORH105" s="450"/>
      <c r="ORI105" s="450"/>
      <c r="ORJ105" s="450"/>
      <c r="ORK105" s="450"/>
      <c r="ORL105" s="450"/>
      <c r="ORM105" s="450"/>
      <c r="ORN105" s="450"/>
      <c r="ORO105" s="450"/>
      <c r="ORP105" s="450"/>
      <c r="ORQ105" s="450"/>
      <c r="ORR105" s="450"/>
      <c r="ORS105" s="450"/>
      <c r="ORT105" s="450"/>
      <c r="ORU105" s="450"/>
      <c r="ORV105" s="450"/>
      <c r="ORW105" s="450"/>
      <c r="ORX105" s="450"/>
      <c r="ORY105" s="450"/>
      <c r="ORZ105" s="450"/>
      <c r="OSA105" s="450"/>
      <c r="OSB105" s="450"/>
      <c r="OSC105" s="450"/>
      <c r="OSD105" s="450"/>
      <c r="OSE105" s="450"/>
      <c r="OSF105" s="450"/>
      <c r="OSG105" s="450"/>
      <c r="OSH105" s="450"/>
      <c r="OSI105" s="450"/>
      <c r="OSJ105" s="450"/>
      <c r="OSK105" s="450"/>
      <c r="OSL105" s="450"/>
      <c r="OSM105" s="450"/>
      <c r="OSN105" s="450"/>
      <c r="OSO105" s="450"/>
      <c r="OSP105" s="450"/>
      <c r="OSQ105" s="450"/>
      <c r="OSR105" s="450"/>
      <c r="OSS105" s="450"/>
      <c r="OST105" s="450"/>
      <c r="OSU105" s="450"/>
      <c r="OSV105" s="450"/>
      <c r="OSW105" s="450"/>
      <c r="OSX105" s="450"/>
      <c r="OSY105" s="450"/>
      <c r="OSZ105" s="450"/>
      <c r="OTA105" s="450"/>
      <c r="OTB105" s="450"/>
      <c r="OTC105" s="450"/>
      <c r="OTD105" s="450"/>
      <c r="OTE105" s="450"/>
      <c r="OTF105" s="450"/>
      <c r="OTG105" s="450"/>
      <c r="OTH105" s="450"/>
      <c r="OTI105" s="450"/>
      <c r="OTJ105" s="450"/>
      <c r="OTK105" s="450"/>
      <c r="OTL105" s="450"/>
      <c r="OTM105" s="450"/>
      <c r="OTN105" s="450"/>
      <c r="OTO105" s="450"/>
      <c r="OTP105" s="450"/>
      <c r="OTQ105" s="450"/>
      <c r="OTR105" s="450"/>
      <c r="OTS105" s="450"/>
      <c r="OTT105" s="450"/>
      <c r="OTU105" s="450"/>
      <c r="OTV105" s="450"/>
      <c r="OTW105" s="450"/>
      <c r="OTX105" s="450"/>
      <c r="OTY105" s="450"/>
      <c r="OTZ105" s="450"/>
      <c r="OUA105" s="450"/>
      <c r="OUB105" s="450"/>
      <c r="OUC105" s="450"/>
      <c r="OUD105" s="450"/>
      <c r="OUE105" s="450"/>
      <c r="OUF105" s="450"/>
      <c r="OUG105" s="450"/>
      <c r="OUH105" s="450"/>
      <c r="OUI105" s="450"/>
      <c r="OUJ105" s="450"/>
      <c r="OUK105" s="450"/>
      <c r="OUL105" s="450"/>
      <c r="OUM105" s="450"/>
      <c r="OUN105" s="450"/>
      <c r="OUO105" s="450"/>
      <c r="OUP105" s="450"/>
      <c r="OUQ105" s="450"/>
      <c r="OUR105" s="450"/>
      <c r="OUS105" s="450"/>
      <c r="OUT105" s="450"/>
      <c r="OUU105" s="450"/>
      <c r="OUV105" s="450"/>
      <c r="OUW105" s="450"/>
      <c r="OUX105" s="450"/>
      <c r="OUY105" s="450"/>
      <c r="OUZ105" s="450"/>
      <c r="OVA105" s="450"/>
      <c r="OVB105" s="450"/>
      <c r="OVC105" s="450"/>
      <c r="OVD105" s="450"/>
      <c r="OVE105" s="450"/>
      <c r="OVF105" s="450"/>
      <c r="OVG105" s="450"/>
      <c r="OVH105" s="450"/>
      <c r="OVI105" s="450"/>
      <c r="OVJ105" s="450"/>
      <c r="OVK105" s="450"/>
      <c r="OVL105" s="450"/>
      <c r="OVM105" s="450"/>
      <c r="OVN105" s="450"/>
      <c r="OVO105" s="450"/>
      <c r="OVP105" s="450"/>
      <c r="OVQ105" s="450"/>
      <c r="OVR105" s="450"/>
      <c r="OVS105" s="450"/>
      <c r="OVT105" s="450"/>
      <c r="OVU105" s="450"/>
      <c r="OVV105" s="450"/>
      <c r="OVW105" s="450"/>
      <c r="OVX105" s="450"/>
      <c r="OVY105" s="450"/>
      <c r="OVZ105" s="450"/>
      <c r="OWA105" s="450"/>
      <c r="OWB105" s="450"/>
      <c r="OWC105" s="450"/>
      <c r="OWD105" s="450"/>
      <c r="OWE105" s="450"/>
      <c r="OWF105" s="450"/>
      <c r="OWG105" s="450"/>
      <c r="OWH105" s="450"/>
      <c r="OWI105" s="450"/>
      <c r="OWJ105" s="450"/>
      <c r="OWK105" s="450"/>
      <c r="OWL105" s="450"/>
      <c r="OWM105" s="450"/>
      <c r="OWN105" s="450"/>
      <c r="OWO105" s="450"/>
      <c r="OWP105" s="450"/>
      <c r="OWQ105" s="450"/>
      <c r="OWR105" s="450"/>
      <c r="OWS105" s="450"/>
      <c r="OWT105" s="450"/>
      <c r="OWU105" s="450"/>
      <c r="OWV105" s="450"/>
      <c r="OWW105" s="450"/>
      <c r="OWX105" s="450"/>
      <c r="OWY105" s="450"/>
      <c r="OWZ105" s="450"/>
      <c r="OXA105" s="450"/>
      <c r="OXB105" s="450"/>
      <c r="OXC105" s="450"/>
      <c r="OXD105" s="450"/>
      <c r="OXE105" s="450"/>
      <c r="OXF105" s="450"/>
      <c r="OXG105" s="450"/>
      <c r="OXH105" s="450"/>
      <c r="OXI105" s="450"/>
      <c r="OXJ105" s="450"/>
      <c r="OXK105" s="450"/>
      <c r="OXL105" s="450"/>
      <c r="OXM105" s="450"/>
      <c r="OXN105" s="450"/>
      <c r="OXO105" s="450"/>
      <c r="OXP105" s="450"/>
      <c r="OXQ105" s="450"/>
      <c r="OXR105" s="450"/>
      <c r="OXS105" s="450"/>
      <c r="OXT105" s="450"/>
      <c r="OXU105" s="450"/>
      <c r="OXV105" s="450"/>
      <c r="OXW105" s="450"/>
      <c r="OXX105" s="450"/>
      <c r="OXY105" s="450"/>
      <c r="OXZ105" s="450"/>
      <c r="OYA105" s="450"/>
      <c r="OYB105" s="450"/>
      <c r="OYC105" s="450"/>
      <c r="OYD105" s="450"/>
      <c r="OYE105" s="450"/>
      <c r="OYF105" s="450"/>
      <c r="OYG105" s="450"/>
      <c r="OYH105" s="450"/>
      <c r="OYI105" s="450"/>
      <c r="OYJ105" s="450"/>
      <c r="OYK105" s="450"/>
      <c r="OYL105" s="450"/>
      <c r="OYM105" s="450"/>
      <c r="OYN105" s="450"/>
      <c r="OYO105" s="450"/>
      <c r="OYP105" s="450"/>
      <c r="OYQ105" s="450"/>
      <c r="OYR105" s="450"/>
      <c r="OYS105" s="450"/>
      <c r="OYT105" s="450"/>
      <c r="OYU105" s="450"/>
      <c r="OYV105" s="450"/>
      <c r="OYW105" s="450"/>
      <c r="OYX105" s="450"/>
      <c r="OYY105" s="450"/>
      <c r="OYZ105" s="450"/>
      <c r="OZA105" s="450"/>
      <c r="OZB105" s="450"/>
      <c r="OZC105" s="450"/>
      <c r="OZD105" s="450"/>
      <c r="OZE105" s="450"/>
      <c r="OZF105" s="450"/>
      <c r="OZG105" s="450"/>
      <c r="OZH105" s="450"/>
      <c r="OZI105" s="450"/>
      <c r="OZJ105" s="450"/>
      <c r="OZK105" s="450"/>
      <c r="OZL105" s="450"/>
      <c r="OZM105" s="450"/>
      <c r="OZN105" s="450"/>
      <c r="OZO105" s="450"/>
      <c r="OZP105" s="450"/>
      <c r="OZQ105" s="450"/>
      <c r="OZR105" s="450"/>
      <c r="OZS105" s="450"/>
      <c r="OZT105" s="450"/>
      <c r="OZU105" s="450"/>
      <c r="OZV105" s="450"/>
      <c r="OZW105" s="450"/>
      <c r="OZX105" s="450"/>
      <c r="OZY105" s="450"/>
      <c r="OZZ105" s="450"/>
      <c r="PAA105" s="450"/>
      <c r="PAB105" s="450"/>
      <c r="PAC105" s="450"/>
      <c r="PAD105" s="450"/>
      <c r="PAE105" s="450"/>
      <c r="PAF105" s="450"/>
      <c r="PAG105" s="450"/>
      <c r="PAH105" s="450"/>
      <c r="PAI105" s="450"/>
      <c r="PAJ105" s="450"/>
      <c r="PAK105" s="450"/>
      <c r="PAL105" s="450"/>
      <c r="PAM105" s="450"/>
      <c r="PAN105" s="450"/>
      <c r="PAO105" s="450"/>
      <c r="PAP105" s="450"/>
      <c r="PAQ105" s="450"/>
      <c r="PAR105" s="450"/>
      <c r="PAS105" s="450"/>
      <c r="PAT105" s="450"/>
      <c r="PAU105" s="450"/>
      <c r="PAV105" s="450"/>
      <c r="PAW105" s="450"/>
      <c r="PAX105" s="450"/>
      <c r="PAY105" s="450"/>
      <c r="PAZ105" s="450"/>
      <c r="PBA105" s="450"/>
      <c r="PBB105" s="450"/>
      <c r="PBC105" s="450"/>
      <c r="PBD105" s="450"/>
      <c r="PBE105" s="450"/>
      <c r="PBF105" s="450"/>
      <c r="PBG105" s="450"/>
      <c r="PBH105" s="450"/>
      <c r="PBI105" s="450"/>
      <c r="PBJ105" s="450"/>
      <c r="PBK105" s="450"/>
      <c r="PBL105" s="450"/>
      <c r="PBM105" s="450"/>
      <c r="PBN105" s="450"/>
      <c r="PBO105" s="450"/>
      <c r="PBP105" s="450"/>
      <c r="PBQ105" s="450"/>
      <c r="PBR105" s="450"/>
      <c r="PBS105" s="450"/>
      <c r="PBT105" s="450"/>
      <c r="PBU105" s="450"/>
      <c r="PBV105" s="450"/>
      <c r="PBW105" s="450"/>
      <c r="PBX105" s="450"/>
      <c r="PBY105" s="450"/>
      <c r="PBZ105" s="450"/>
      <c r="PCA105" s="450"/>
      <c r="PCB105" s="450"/>
      <c r="PCC105" s="450"/>
      <c r="PCD105" s="450"/>
      <c r="PCE105" s="450"/>
      <c r="PCF105" s="450"/>
      <c r="PCG105" s="450"/>
      <c r="PCH105" s="450"/>
      <c r="PCI105" s="450"/>
      <c r="PCJ105" s="450"/>
      <c r="PCK105" s="450"/>
      <c r="PCL105" s="450"/>
      <c r="PCM105" s="450"/>
      <c r="PCN105" s="450"/>
      <c r="PCO105" s="450"/>
      <c r="PCP105" s="450"/>
      <c r="PCQ105" s="450"/>
      <c r="PCR105" s="450"/>
      <c r="PCS105" s="450"/>
      <c r="PCT105" s="450"/>
      <c r="PCU105" s="450"/>
      <c r="PCV105" s="450"/>
      <c r="PCW105" s="450"/>
      <c r="PCX105" s="450"/>
      <c r="PCY105" s="450"/>
      <c r="PCZ105" s="450"/>
      <c r="PDA105" s="450"/>
      <c r="PDB105" s="450"/>
      <c r="PDC105" s="450"/>
      <c r="PDD105" s="450"/>
      <c r="PDE105" s="450"/>
      <c r="PDF105" s="450"/>
      <c r="PDG105" s="450"/>
      <c r="PDH105" s="450"/>
      <c r="PDI105" s="450"/>
      <c r="PDJ105" s="450"/>
      <c r="PDK105" s="450"/>
      <c r="PDL105" s="450"/>
      <c r="PDM105" s="450"/>
      <c r="PDN105" s="450"/>
      <c r="PDO105" s="450"/>
      <c r="PDP105" s="450"/>
      <c r="PDQ105" s="450"/>
      <c r="PDR105" s="450"/>
      <c r="PDS105" s="450"/>
      <c r="PDT105" s="450"/>
      <c r="PDU105" s="450"/>
      <c r="PDV105" s="450"/>
      <c r="PDW105" s="450"/>
      <c r="PDX105" s="450"/>
      <c r="PDY105" s="450"/>
      <c r="PDZ105" s="450"/>
      <c r="PEA105" s="450"/>
      <c r="PEB105" s="450"/>
      <c r="PEC105" s="450"/>
      <c r="PED105" s="450"/>
      <c r="PEE105" s="450"/>
      <c r="PEF105" s="450"/>
      <c r="PEG105" s="450"/>
      <c r="PEH105" s="450"/>
      <c r="PEI105" s="450"/>
      <c r="PEJ105" s="450"/>
      <c r="PEK105" s="450"/>
      <c r="PEL105" s="450"/>
      <c r="PEM105" s="450"/>
      <c r="PEN105" s="450"/>
      <c r="PEO105" s="450"/>
      <c r="PEP105" s="450"/>
      <c r="PEQ105" s="450"/>
      <c r="PER105" s="450"/>
      <c r="PES105" s="450"/>
      <c r="PET105" s="450"/>
      <c r="PEU105" s="450"/>
      <c r="PEV105" s="450"/>
      <c r="PEW105" s="450"/>
      <c r="PEX105" s="450"/>
      <c r="PEY105" s="450"/>
      <c r="PEZ105" s="450"/>
      <c r="PFA105" s="450"/>
      <c r="PFB105" s="450"/>
      <c r="PFC105" s="450"/>
      <c r="PFD105" s="450"/>
      <c r="PFE105" s="450"/>
      <c r="PFF105" s="450"/>
      <c r="PFG105" s="450"/>
      <c r="PFH105" s="450"/>
      <c r="PFI105" s="450"/>
      <c r="PFJ105" s="450"/>
      <c r="PFK105" s="450"/>
      <c r="PFL105" s="450"/>
      <c r="PFM105" s="450"/>
      <c r="PFN105" s="450"/>
      <c r="PFO105" s="450"/>
      <c r="PFP105" s="450"/>
      <c r="PFQ105" s="450"/>
      <c r="PFR105" s="450"/>
      <c r="PFS105" s="450"/>
      <c r="PFT105" s="450"/>
      <c r="PFU105" s="450"/>
      <c r="PFV105" s="450"/>
      <c r="PFW105" s="450"/>
      <c r="PFX105" s="450"/>
      <c r="PFY105" s="450"/>
      <c r="PFZ105" s="450"/>
      <c r="PGA105" s="450"/>
      <c r="PGB105" s="450"/>
      <c r="PGC105" s="450"/>
      <c r="PGD105" s="450"/>
      <c r="PGE105" s="450"/>
      <c r="PGF105" s="450"/>
      <c r="PGG105" s="450"/>
      <c r="PGH105" s="450"/>
      <c r="PGI105" s="450"/>
      <c r="PGJ105" s="450"/>
      <c r="PGK105" s="450"/>
      <c r="PGL105" s="450"/>
      <c r="PGM105" s="450"/>
      <c r="PGN105" s="450"/>
      <c r="PGO105" s="450"/>
      <c r="PGP105" s="450"/>
      <c r="PGQ105" s="450"/>
      <c r="PGR105" s="450"/>
      <c r="PGS105" s="450"/>
      <c r="PGT105" s="450"/>
      <c r="PGU105" s="450"/>
      <c r="PGV105" s="450"/>
      <c r="PGW105" s="450"/>
      <c r="PGX105" s="450"/>
      <c r="PGY105" s="450"/>
      <c r="PGZ105" s="450"/>
      <c r="PHA105" s="450"/>
      <c r="PHB105" s="450"/>
      <c r="PHC105" s="450"/>
      <c r="PHD105" s="450"/>
      <c r="PHE105" s="450"/>
      <c r="PHF105" s="450"/>
      <c r="PHG105" s="450"/>
      <c r="PHH105" s="450"/>
      <c r="PHI105" s="450"/>
      <c r="PHJ105" s="450"/>
      <c r="PHK105" s="450"/>
      <c r="PHL105" s="450"/>
      <c r="PHM105" s="450"/>
      <c r="PHN105" s="450"/>
      <c r="PHO105" s="450"/>
      <c r="PHP105" s="450"/>
      <c r="PHQ105" s="450"/>
      <c r="PHR105" s="450"/>
      <c r="PHS105" s="450"/>
      <c r="PHT105" s="450"/>
      <c r="PHU105" s="450"/>
      <c r="PHV105" s="450"/>
      <c r="PHW105" s="450"/>
      <c r="PHX105" s="450"/>
      <c r="PHY105" s="450"/>
      <c r="PHZ105" s="450"/>
      <c r="PIA105" s="450"/>
      <c r="PIB105" s="450"/>
      <c r="PIC105" s="450"/>
      <c r="PID105" s="450"/>
      <c r="PIE105" s="450"/>
      <c r="PIF105" s="450"/>
      <c r="PIG105" s="450"/>
      <c r="PIH105" s="450"/>
      <c r="PII105" s="450"/>
      <c r="PIJ105" s="450"/>
      <c r="PIK105" s="450"/>
      <c r="PIL105" s="450"/>
      <c r="PIM105" s="450"/>
      <c r="PIN105" s="450"/>
      <c r="PIO105" s="450"/>
      <c r="PIP105" s="450"/>
      <c r="PIQ105" s="450"/>
      <c r="PIR105" s="450"/>
      <c r="PIS105" s="450"/>
      <c r="PIT105" s="450"/>
      <c r="PIU105" s="450"/>
      <c r="PIV105" s="450"/>
      <c r="PIW105" s="450"/>
      <c r="PIX105" s="450"/>
      <c r="PIY105" s="450"/>
      <c r="PIZ105" s="450"/>
      <c r="PJA105" s="450"/>
      <c r="PJB105" s="450"/>
      <c r="PJC105" s="450"/>
      <c r="PJD105" s="450"/>
      <c r="PJE105" s="450"/>
      <c r="PJF105" s="450"/>
      <c r="PJG105" s="450"/>
      <c r="PJH105" s="450"/>
      <c r="PJI105" s="450"/>
      <c r="PJJ105" s="450"/>
      <c r="PJK105" s="450"/>
      <c r="PJL105" s="450"/>
      <c r="PJM105" s="450"/>
      <c r="PJN105" s="450"/>
      <c r="PJO105" s="450"/>
      <c r="PJP105" s="450"/>
      <c r="PJQ105" s="450"/>
      <c r="PJR105" s="450"/>
      <c r="PJS105" s="450"/>
      <c r="PJT105" s="450"/>
      <c r="PJU105" s="450"/>
      <c r="PJV105" s="450"/>
      <c r="PJW105" s="450"/>
      <c r="PJX105" s="450"/>
      <c r="PJY105" s="450"/>
      <c r="PJZ105" s="450"/>
      <c r="PKA105" s="450"/>
      <c r="PKB105" s="450"/>
      <c r="PKC105" s="450"/>
      <c r="PKD105" s="450"/>
      <c r="PKE105" s="450"/>
      <c r="PKF105" s="450"/>
      <c r="PKG105" s="450"/>
      <c r="PKH105" s="450"/>
      <c r="PKI105" s="450"/>
      <c r="PKJ105" s="450"/>
      <c r="PKK105" s="450"/>
      <c r="PKL105" s="450"/>
      <c r="PKM105" s="450"/>
      <c r="PKN105" s="450"/>
      <c r="PKO105" s="450"/>
      <c r="PKP105" s="450"/>
      <c r="PKQ105" s="450"/>
      <c r="PKR105" s="450"/>
      <c r="PKS105" s="450"/>
      <c r="PKT105" s="450"/>
      <c r="PKU105" s="450"/>
      <c r="PKV105" s="450"/>
      <c r="PKW105" s="450"/>
      <c r="PKX105" s="450"/>
      <c r="PKY105" s="450"/>
      <c r="PKZ105" s="450"/>
      <c r="PLA105" s="450"/>
      <c r="PLB105" s="450"/>
      <c r="PLC105" s="450"/>
      <c r="PLD105" s="450"/>
      <c r="PLE105" s="450"/>
      <c r="PLF105" s="450"/>
      <c r="PLG105" s="450"/>
      <c r="PLH105" s="450"/>
      <c r="PLI105" s="450"/>
      <c r="PLJ105" s="450"/>
      <c r="PLK105" s="450"/>
      <c r="PLL105" s="450"/>
      <c r="PLM105" s="450"/>
      <c r="PLN105" s="450"/>
      <c r="PLO105" s="450"/>
      <c r="PLP105" s="450"/>
      <c r="PLQ105" s="450"/>
      <c r="PLR105" s="450"/>
      <c r="PLS105" s="450"/>
      <c r="PLT105" s="450"/>
      <c r="PLU105" s="450"/>
      <c r="PLV105" s="450"/>
      <c r="PLW105" s="450"/>
      <c r="PLX105" s="450"/>
      <c r="PLY105" s="450"/>
      <c r="PLZ105" s="450"/>
      <c r="PMA105" s="450"/>
      <c r="PMB105" s="450"/>
      <c r="PMC105" s="450"/>
      <c r="PMD105" s="450"/>
      <c r="PME105" s="450"/>
      <c r="PMF105" s="450"/>
      <c r="PMG105" s="450"/>
      <c r="PMH105" s="450"/>
      <c r="PMI105" s="450"/>
      <c r="PMJ105" s="450"/>
      <c r="PMK105" s="450"/>
      <c r="PML105" s="450"/>
      <c r="PMM105" s="450"/>
      <c r="PMN105" s="450"/>
      <c r="PMO105" s="450"/>
      <c r="PMP105" s="450"/>
      <c r="PMQ105" s="450"/>
      <c r="PMR105" s="450"/>
      <c r="PMS105" s="450"/>
      <c r="PMT105" s="450"/>
      <c r="PMU105" s="450"/>
      <c r="PMV105" s="450"/>
      <c r="PMW105" s="450"/>
      <c r="PMX105" s="450"/>
      <c r="PMY105" s="450"/>
      <c r="PMZ105" s="450"/>
      <c r="PNA105" s="450"/>
      <c r="PNB105" s="450"/>
      <c r="PNC105" s="450"/>
      <c r="PND105" s="450"/>
      <c r="PNE105" s="450"/>
      <c r="PNF105" s="450"/>
      <c r="PNG105" s="450"/>
      <c r="PNH105" s="450"/>
      <c r="PNI105" s="450"/>
      <c r="PNJ105" s="450"/>
      <c r="PNK105" s="450"/>
      <c r="PNL105" s="450"/>
      <c r="PNM105" s="450"/>
      <c r="PNN105" s="450"/>
      <c r="PNO105" s="450"/>
      <c r="PNP105" s="450"/>
      <c r="PNQ105" s="450"/>
      <c r="PNR105" s="450"/>
      <c r="PNS105" s="450"/>
      <c r="PNT105" s="450"/>
      <c r="PNU105" s="450"/>
      <c r="PNV105" s="450"/>
      <c r="PNW105" s="450"/>
      <c r="PNX105" s="450"/>
      <c r="PNY105" s="450"/>
      <c r="PNZ105" s="450"/>
      <c r="POA105" s="450"/>
      <c r="POB105" s="450"/>
      <c r="POC105" s="450"/>
      <c r="POD105" s="450"/>
      <c r="POE105" s="450"/>
      <c r="POF105" s="450"/>
      <c r="POG105" s="450"/>
      <c r="POH105" s="450"/>
      <c r="POI105" s="450"/>
      <c r="POJ105" s="450"/>
      <c r="POK105" s="450"/>
      <c r="POL105" s="450"/>
      <c r="POM105" s="450"/>
      <c r="PON105" s="450"/>
      <c r="POO105" s="450"/>
      <c r="POP105" s="450"/>
      <c r="POQ105" s="450"/>
      <c r="POR105" s="450"/>
      <c r="POS105" s="450"/>
      <c r="POT105" s="450"/>
      <c r="POU105" s="450"/>
      <c r="POV105" s="450"/>
      <c r="POW105" s="450"/>
      <c r="POX105" s="450"/>
      <c r="POY105" s="450"/>
      <c r="POZ105" s="450"/>
      <c r="PPA105" s="450"/>
      <c r="PPB105" s="450"/>
      <c r="PPC105" s="450"/>
      <c r="PPD105" s="450"/>
      <c r="PPE105" s="450"/>
      <c r="PPF105" s="450"/>
      <c r="PPG105" s="450"/>
      <c r="PPH105" s="450"/>
      <c r="PPI105" s="450"/>
      <c r="PPJ105" s="450"/>
      <c r="PPK105" s="450"/>
      <c r="PPL105" s="450"/>
      <c r="PPM105" s="450"/>
      <c r="PPN105" s="450"/>
      <c r="PPO105" s="450"/>
      <c r="PPP105" s="450"/>
      <c r="PPQ105" s="450"/>
      <c r="PPR105" s="450"/>
      <c r="PPS105" s="450"/>
      <c r="PPT105" s="450"/>
      <c r="PPU105" s="450"/>
      <c r="PPV105" s="450"/>
      <c r="PPW105" s="450"/>
      <c r="PPX105" s="450"/>
      <c r="PPY105" s="450"/>
      <c r="PPZ105" s="450"/>
      <c r="PQA105" s="450"/>
      <c r="PQB105" s="450"/>
      <c r="PQC105" s="450"/>
      <c r="PQD105" s="450"/>
      <c r="PQE105" s="450"/>
      <c r="PQF105" s="450"/>
      <c r="PQG105" s="450"/>
      <c r="PQH105" s="450"/>
      <c r="PQI105" s="450"/>
      <c r="PQJ105" s="450"/>
      <c r="PQK105" s="450"/>
      <c r="PQL105" s="450"/>
      <c r="PQM105" s="450"/>
      <c r="PQN105" s="450"/>
      <c r="PQO105" s="450"/>
      <c r="PQP105" s="450"/>
      <c r="PQQ105" s="450"/>
      <c r="PQR105" s="450"/>
      <c r="PQS105" s="450"/>
      <c r="PQT105" s="450"/>
      <c r="PQU105" s="450"/>
      <c r="PQV105" s="450"/>
      <c r="PQW105" s="450"/>
      <c r="PQX105" s="450"/>
      <c r="PQY105" s="450"/>
      <c r="PQZ105" s="450"/>
      <c r="PRA105" s="450"/>
      <c r="PRB105" s="450"/>
      <c r="PRC105" s="450"/>
      <c r="PRD105" s="450"/>
      <c r="PRE105" s="450"/>
      <c r="PRF105" s="450"/>
      <c r="PRG105" s="450"/>
      <c r="PRH105" s="450"/>
      <c r="PRI105" s="450"/>
      <c r="PRJ105" s="450"/>
      <c r="PRK105" s="450"/>
      <c r="PRL105" s="450"/>
      <c r="PRM105" s="450"/>
      <c r="PRN105" s="450"/>
      <c r="PRO105" s="450"/>
      <c r="PRP105" s="450"/>
      <c r="PRQ105" s="450"/>
      <c r="PRR105" s="450"/>
      <c r="PRS105" s="450"/>
      <c r="PRT105" s="450"/>
      <c r="PRU105" s="450"/>
      <c r="PRV105" s="450"/>
      <c r="PRW105" s="450"/>
      <c r="PRX105" s="450"/>
      <c r="PRY105" s="450"/>
      <c r="PRZ105" s="450"/>
      <c r="PSA105" s="450"/>
      <c r="PSB105" s="450"/>
      <c r="PSC105" s="450"/>
      <c r="PSD105" s="450"/>
      <c r="PSE105" s="450"/>
      <c r="PSF105" s="450"/>
      <c r="PSG105" s="450"/>
      <c r="PSH105" s="450"/>
      <c r="PSI105" s="450"/>
      <c r="PSJ105" s="450"/>
      <c r="PSK105" s="450"/>
      <c r="PSL105" s="450"/>
      <c r="PSM105" s="450"/>
      <c r="PSN105" s="450"/>
      <c r="PSO105" s="450"/>
      <c r="PSP105" s="450"/>
      <c r="PSQ105" s="450"/>
      <c r="PSR105" s="450"/>
      <c r="PSS105" s="450"/>
      <c r="PST105" s="450"/>
      <c r="PSU105" s="450"/>
      <c r="PSV105" s="450"/>
      <c r="PSW105" s="450"/>
      <c r="PSX105" s="450"/>
      <c r="PSY105" s="450"/>
      <c r="PSZ105" s="450"/>
      <c r="PTA105" s="450"/>
      <c r="PTB105" s="450"/>
      <c r="PTC105" s="450"/>
      <c r="PTD105" s="450"/>
      <c r="PTE105" s="450"/>
      <c r="PTF105" s="450"/>
      <c r="PTG105" s="450"/>
      <c r="PTH105" s="450"/>
      <c r="PTI105" s="450"/>
      <c r="PTJ105" s="450"/>
      <c r="PTK105" s="450"/>
      <c r="PTL105" s="450"/>
      <c r="PTM105" s="450"/>
      <c r="PTN105" s="450"/>
      <c r="PTO105" s="450"/>
      <c r="PTP105" s="450"/>
      <c r="PTQ105" s="450"/>
      <c r="PTR105" s="450"/>
      <c r="PTS105" s="450"/>
      <c r="PTT105" s="450"/>
      <c r="PTU105" s="450"/>
      <c r="PTV105" s="450"/>
      <c r="PTW105" s="450"/>
      <c r="PTX105" s="450"/>
      <c r="PTY105" s="450"/>
      <c r="PTZ105" s="450"/>
      <c r="PUA105" s="450"/>
      <c r="PUB105" s="450"/>
      <c r="PUC105" s="450"/>
      <c r="PUD105" s="450"/>
      <c r="PUE105" s="450"/>
      <c r="PUF105" s="450"/>
      <c r="PUG105" s="450"/>
      <c r="PUH105" s="450"/>
      <c r="PUI105" s="450"/>
      <c r="PUJ105" s="450"/>
      <c r="PUK105" s="450"/>
      <c r="PUL105" s="450"/>
      <c r="PUM105" s="450"/>
      <c r="PUN105" s="450"/>
      <c r="PUO105" s="450"/>
      <c r="PUP105" s="450"/>
      <c r="PUQ105" s="450"/>
      <c r="PUR105" s="450"/>
      <c r="PUS105" s="450"/>
      <c r="PUT105" s="450"/>
      <c r="PUU105" s="450"/>
      <c r="PUV105" s="450"/>
      <c r="PUW105" s="450"/>
      <c r="PUX105" s="450"/>
      <c r="PUY105" s="450"/>
      <c r="PUZ105" s="450"/>
      <c r="PVA105" s="450"/>
      <c r="PVB105" s="450"/>
      <c r="PVC105" s="450"/>
      <c r="PVD105" s="450"/>
      <c r="PVE105" s="450"/>
      <c r="PVF105" s="450"/>
      <c r="PVG105" s="450"/>
      <c r="PVH105" s="450"/>
      <c r="PVI105" s="450"/>
      <c r="PVJ105" s="450"/>
      <c r="PVK105" s="450"/>
      <c r="PVL105" s="450"/>
      <c r="PVM105" s="450"/>
      <c r="PVN105" s="450"/>
      <c r="PVO105" s="450"/>
      <c r="PVP105" s="450"/>
      <c r="PVQ105" s="450"/>
      <c r="PVR105" s="450"/>
      <c r="PVS105" s="450"/>
      <c r="PVT105" s="450"/>
      <c r="PVU105" s="450"/>
      <c r="PVV105" s="450"/>
      <c r="PVW105" s="450"/>
      <c r="PVX105" s="450"/>
      <c r="PVY105" s="450"/>
      <c r="PVZ105" s="450"/>
      <c r="PWA105" s="450"/>
      <c r="PWB105" s="450"/>
      <c r="PWC105" s="450"/>
      <c r="PWD105" s="450"/>
      <c r="PWE105" s="450"/>
      <c r="PWF105" s="450"/>
      <c r="PWG105" s="450"/>
      <c r="PWH105" s="450"/>
      <c r="PWI105" s="450"/>
      <c r="PWJ105" s="450"/>
      <c r="PWK105" s="450"/>
      <c r="PWL105" s="450"/>
      <c r="PWM105" s="450"/>
      <c r="PWN105" s="450"/>
      <c r="PWO105" s="450"/>
      <c r="PWP105" s="450"/>
      <c r="PWQ105" s="450"/>
      <c r="PWR105" s="450"/>
      <c r="PWS105" s="450"/>
      <c r="PWT105" s="450"/>
      <c r="PWU105" s="450"/>
      <c r="PWV105" s="450"/>
      <c r="PWW105" s="450"/>
      <c r="PWX105" s="450"/>
      <c r="PWY105" s="450"/>
      <c r="PWZ105" s="450"/>
      <c r="PXA105" s="450"/>
      <c r="PXB105" s="450"/>
      <c r="PXC105" s="450"/>
      <c r="PXD105" s="450"/>
      <c r="PXE105" s="450"/>
      <c r="PXF105" s="450"/>
      <c r="PXG105" s="450"/>
      <c r="PXH105" s="450"/>
      <c r="PXI105" s="450"/>
      <c r="PXJ105" s="450"/>
      <c r="PXK105" s="450"/>
      <c r="PXL105" s="450"/>
      <c r="PXM105" s="450"/>
      <c r="PXN105" s="450"/>
      <c r="PXO105" s="450"/>
      <c r="PXP105" s="450"/>
      <c r="PXQ105" s="450"/>
      <c r="PXR105" s="450"/>
      <c r="PXS105" s="450"/>
      <c r="PXT105" s="450"/>
      <c r="PXU105" s="450"/>
      <c r="PXV105" s="450"/>
      <c r="PXW105" s="450"/>
      <c r="PXX105" s="450"/>
      <c r="PXY105" s="450"/>
      <c r="PXZ105" s="450"/>
      <c r="PYA105" s="450"/>
      <c r="PYB105" s="450"/>
      <c r="PYC105" s="450"/>
      <c r="PYD105" s="450"/>
      <c r="PYE105" s="450"/>
      <c r="PYF105" s="450"/>
      <c r="PYG105" s="450"/>
      <c r="PYH105" s="450"/>
      <c r="PYI105" s="450"/>
      <c r="PYJ105" s="450"/>
      <c r="PYK105" s="450"/>
      <c r="PYL105" s="450"/>
      <c r="PYM105" s="450"/>
      <c r="PYN105" s="450"/>
      <c r="PYO105" s="450"/>
      <c r="PYP105" s="450"/>
      <c r="PYQ105" s="450"/>
      <c r="PYR105" s="450"/>
      <c r="PYS105" s="450"/>
      <c r="PYT105" s="450"/>
      <c r="PYU105" s="450"/>
      <c r="PYV105" s="450"/>
      <c r="PYW105" s="450"/>
      <c r="PYX105" s="450"/>
      <c r="PYY105" s="450"/>
      <c r="PYZ105" s="450"/>
      <c r="PZA105" s="450"/>
      <c r="PZB105" s="450"/>
      <c r="PZC105" s="450"/>
      <c r="PZD105" s="450"/>
      <c r="PZE105" s="450"/>
      <c r="PZF105" s="450"/>
      <c r="PZG105" s="450"/>
      <c r="PZH105" s="450"/>
      <c r="PZI105" s="450"/>
      <c r="PZJ105" s="450"/>
      <c r="PZK105" s="450"/>
      <c r="PZL105" s="450"/>
      <c r="PZM105" s="450"/>
      <c r="PZN105" s="450"/>
      <c r="PZO105" s="450"/>
      <c r="PZP105" s="450"/>
      <c r="PZQ105" s="450"/>
      <c r="PZR105" s="450"/>
      <c r="PZS105" s="450"/>
      <c r="PZT105" s="450"/>
      <c r="PZU105" s="450"/>
      <c r="PZV105" s="450"/>
      <c r="PZW105" s="450"/>
      <c r="PZX105" s="450"/>
      <c r="PZY105" s="450"/>
      <c r="PZZ105" s="450"/>
      <c r="QAA105" s="450"/>
      <c r="QAB105" s="450"/>
      <c r="QAC105" s="450"/>
      <c r="QAD105" s="450"/>
      <c r="QAE105" s="450"/>
      <c r="QAF105" s="450"/>
      <c r="QAG105" s="450"/>
      <c r="QAH105" s="450"/>
      <c r="QAI105" s="450"/>
      <c r="QAJ105" s="450"/>
      <c r="QAK105" s="450"/>
      <c r="QAL105" s="450"/>
      <c r="QAM105" s="450"/>
      <c r="QAN105" s="450"/>
      <c r="QAO105" s="450"/>
      <c r="QAP105" s="450"/>
      <c r="QAQ105" s="450"/>
      <c r="QAR105" s="450"/>
      <c r="QAS105" s="450"/>
      <c r="QAT105" s="450"/>
      <c r="QAU105" s="450"/>
      <c r="QAV105" s="450"/>
      <c r="QAW105" s="450"/>
      <c r="QAX105" s="450"/>
      <c r="QAY105" s="450"/>
      <c r="QAZ105" s="450"/>
      <c r="QBA105" s="450"/>
      <c r="QBB105" s="450"/>
      <c r="QBC105" s="450"/>
      <c r="QBD105" s="450"/>
      <c r="QBE105" s="450"/>
      <c r="QBF105" s="450"/>
      <c r="QBG105" s="450"/>
      <c r="QBH105" s="450"/>
      <c r="QBI105" s="450"/>
      <c r="QBJ105" s="450"/>
      <c r="QBK105" s="450"/>
      <c r="QBL105" s="450"/>
      <c r="QBM105" s="450"/>
      <c r="QBN105" s="450"/>
      <c r="QBO105" s="450"/>
      <c r="QBP105" s="450"/>
      <c r="QBQ105" s="450"/>
      <c r="QBR105" s="450"/>
      <c r="QBS105" s="450"/>
      <c r="QBT105" s="450"/>
      <c r="QBU105" s="450"/>
      <c r="QBV105" s="450"/>
      <c r="QBW105" s="450"/>
      <c r="QBX105" s="450"/>
      <c r="QBY105" s="450"/>
      <c r="QBZ105" s="450"/>
      <c r="QCA105" s="450"/>
      <c r="QCB105" s="450"/>
      <c r="QCC105" s="450"/>
      <c r="QCD105" s="450"/>
      <c r="QCE105" s="450"/>
      <c r="QCF105" s="450"/>
      <c r="QCG105" s="450"/>
      <c r="QCH105" s="450"/>
      <c r="QCI105" s="450"/>
      <c r="QCJ105" s="450"/>
      <c r="QCK105" s="450"/>
      <c r="QCL105" s="450"/>
      <c r="QCM105" s="450"/>
      <c r="QCN105" s="450"/>
      <c r="QCO105" s="450"/>
      <c r="QCP105" s="450"/>
      <c r="QCQ105" s="450"/>
      <c r="QCR105" s="450"/>
      <c r="QCS105" s="450"/>
      <c r="QCT105" s="450"/>
      <c r="QCU105" s="450"/>
      <c r="QCV105" s="450"/>
      <c r="QCW105" s="450"/>
      <c r="QCX105" s="450"/>
      <c r="QCY105" s="450"/>
      <c r="QCZ105" s="450"/>
      <c r="QDA105" s="450"/>
      <c r="QDB105" s="450"/>
      <c r="QDC105" s="450"/>
      <c r="QDD105" s="450"/>
      <c r="QDE105" s="450"/>
      <c r="QDF105" s="450"/>
      <c r="QDG105" s="450"/>
      <c r="QDH105" s="450"/>
      <c r="QDI105" s="450"/>
      <c r="QDJ105" s="450"/>
      <c r="QDK105" s="450"/>
      <c r="QDL105" s="450"/>
      <c r="QDM105" s="450"/>
      <c r="QDN105" s="450"/>
      <c r="QDO105" s="450"/>
      <c r="QDP105" s="450"/>
      <c r="QDQ105" s="450"/>
      <c r="QDR105" s="450"/>
      <c r="QDS105" s="450"/>
      <c r="QDT105" s="450"/>
      <c r="QDU105" s="450"/>
      <c r="QDV105" s="450"/>
      <c r="QDW105" s="450"/>
      <c r="QDX105" s="450"/>
      <c r="QDY105" s="450"/>
      <c r="QDZ105" s="450"/>
      <c r="QEA105" s="450"/>
      <c r="QEB105" s="450"/>
      <c r="QEC105" s="450"/>
      <c r="QED105" s="450"/>
      <c r="QEE105" s="450"/>
      <c r="QEF105" s="450"/>
      <c r="QEG105" s="450"/>
      <c r="QEH105" s="450"/>
      <c r="QEI105" s="450"/>
      <c r="QEJ105" s="450"/>
      <c r="QEK105" s="450"/>
      <c r="QEL105" s="450"/>
      <c r="QEM105" s="450"/>
      <c r="QEN105" s="450"/>
      <c r="QEO105" s="450"/>
      <c r="QEP105" s="450"/>
      <c r="QEQ105" s="450"/>
      <c r="QER105" s="450"/>
      <c r="QES105" s="450"/>
      <c r="QET105" s="450"/>
      <c r="QEU105" s="450"/>
      <c r="QEV105" s="450"/>
      <c r="QEW105" s="450"/>
      <c r="QEX105" s="450"/>
      <c r="QEY105" s="450"/>
      <c r="QEZ105" s="450"/>
      <c r="QFA105" s="450"/>
      <c r="QFB105" s="450"/>
      <c r="QFC105" s="450"/>
      <c r="QFD105" s="450"/>
      <c r="QFE105" s="450"/>
      <c r="QFF105" s="450"/>
      <c r="QFG105" s="450"/>
      <c r="QFH105" s="450"/>
      <c r="QFI105" s="450"/>
      <c r="QFJ105" s="450"/>
      <c r="QFK105" s="450"/>
      <c r="QFL105" s="450"/>
      <c r="QFM105" s="450"/>
      <c r="QFN105" s="450"/>
      <c r="QFO105" s="450"/>
      <c r="QFP105" s="450"/>
      <c r="QFQ105" s="450"/>
      <c r="QFR105" s="450"/>
      <c r="QFS105" s="450"/>
      <c r="QFT105" s="450"/>
      <c r="QFU105" s="450"/>
      <c r="QFV105" s="450"/>
      <c r="QFW105" s="450"/>
      <c r="QFX105" s="450"/>
      <c r="QFY105" s="450"/>
      <c r="QFZ105" s="450"/>
      <c r="QGA105" s="450"/>
      <c r="QGB105" s="450"/>
      <c r="QGC105" s="450"/>
      <c r="QGD105" s="450"/>
      <c r="QGE105" s="450"/>
      <c r="QGF105" s="450"/>
      <c r="QGG105" s="450"/>
      <c r="QGH105" s="450"/>
      <c r="QGI105" s="450"/>
      <c r="QGJ105" s="450"/>
      <c r="QGK105" s="450"/>
      <c r="QGL105" s="450"/>
      <c r="QGM105" s="450"/>
      <c r="QGN105" s="450"/>
      <c r="QGO105" s="450"/>
      <c r="QGP105" s="450"/>
      <c r="QGQ105" s="450"/>
      <c r="QGR105" s="450"/>
      <c r="QGS105" s="450"/>
      <c r="QGT105" s="450"/>
      <c r="QGU105" s="450"/>
      <c r="QGV105" s="450"/>
      <c r="QGW105" s="450"/>
      <c r="QGX105" s="450"/>
      <c r="QGY105" s="450"/>
      <c r="QGZ105" s="450"/>
      <c r="QHA105" s="450"/>
      <c r="QHB105" s="450"/>
      <c r="QHC105" s="450"/>
      <c r="QHD105" s="450"/>
      <c r="QHE105" s="450"/>
      <c r="QHF105" s="450"/>
      <c r="QHG105" s="450"/>
      <c r="QHH105" s="450"/>
      <c r="QHI105" s="450"/>
      <c r="QHJ105" s="450"/>
      <c r="QHK105" s="450"/>
      <c r="QHL105" s="450"/>
      <c r="QHM105" s="450"/>
      <c r="QHN105" s="450"/>
      <c r="QHO105" s="450"/>
      <c r="QHP105" s="450"/>
      <c r="QHQ105" s="450"/>
      <c r="QHR105" s="450"/>
      <c r="QHS105" s="450"/>
      <c r="QHT105" s="450"/>
      <c r="QHU105" s="450"/>
      <c r="QHV105" s="450"/>
      <c r="QHW105" s="450"/>
      <c r="QHX105" s="450"/>
      <c r="QHY105" s="450"/>
      <c r="QHZ105" s="450"/>
      <c r="QIA105" s="450"/>
      <c r="QIB105" s="450"/>
      <c r="QIC105" s="450"/>
      <c r="QID105" s="450"/>
      <c r="QIE105" s="450"/>
      <c r="QIF105" s="450"/>
      <c r="QIG105" s="450"/>
      <c r="QIH105" s="450"/>
      <c r="QII105" s="450"/>
      <c r="QIJ105" s="450"/>
      <c r="QIK105" s="450"/>
      <c r="QIL105" s="450"/>
      <c r="QIM105" s="450"/>
      <c r="QIN105" s="450"/>
      <c r="QIO105" s="450"/>
      <c r="QIP105" s="450"/>
      <c r="QIQ105" s="450"/>
      <c r="QIR105" s="450"/>
      <c r="QIS105" s="450"/>
      <c r="QIT105" s="450"/>
      <c r="QIU105" s="450"/>
      <c r="QIV105" s="450"/>
      <c r="QIW105" s="450"/>
      <c r="QIX105" s="450"/>
      <c r="QIY105" s="450"/>
      <c r="QIZ105" s="450"/>
      <c r="QJA105" s="450"/>
      <c r="QJB105" s="450"/>
      <c r="QJC105" s="450"/>
      <c r="QJD105" s="450"/>
      <c r="QJE105" s="450"/>
      <c r="QJF105" s="450"/>
      <c r="QJG105" s="450"/>
      <c r="QJH105" s="450"/>
      <c r="QJI105" s="450"/>
      <c r="QJJ105" s="450"/>
      <c r="QJK105" s="450"/>
      <c r="QJL105" s="450"/>
      <c r="QJM105" s="450"/>
      <c r="QJN105" s="450"/>
      <c r="QJO105" s="450"/>
      <c r="QJP105" s="450"/>
      <c r="QJQ105" s="450"/>
      <c r="QJR105" s="450"/>
      <c r="QJS105" s="450"/>
      <c r="QJT105" s="450"/>
      <c r="QJU105" s="450"/>
      <c r="QJV105" s="450"/>
      <c r="QJW105" s="450"/>
      <c r="QJX105" s="450"/>
      <c r="QJY105" s="450"/>
      <c r="QJZ105" s="450"/>
      <c r="QKA105" s="450"/>
      <c r="QKB105" s="450"/>
      <c r="QKC105" s="450"/>
      <c r="QKD105" s="450"/>
      <c r="QKE105" s="450"/>
      <c r="QKF105" s="450"/>
      <c r="QKG105" s="450"/>
      <c r="QKH105" s="450"/>
      <c r="QKI105" s="450"/>
      <c r="QKJ105" s="450"/>
      <c r="QKK105" s="450"/>
      <c r="QKL105" s="450"/>
      <c r="QKM105" s="450"/>
      <c r="QKN105" s="450"/>
      <c r="QKO105" s="450"/>
      <c r="QKP105" s="450"/>
      <c r="QKQ105" s="450"/>
      <c r="QKR105" s="450"/>
      <c r="QKS105" s="450"/>
      <c r="QKT105" s="450"/>
      <c r="QKU105" s="450"/>
      <c r="QKV105" s="450"/>
      <c r="QKW105" s="450"/>
      <c r="QKX105" s="450"/>
      <c r="QKY105" s="450"/>
      <c r="QKZ105" s="450"/>
      <c r="QLA105" s="450"/>
      <c r="QLB105" s="450"/>
      <c r="QLC105" s="450"/>
      <c r="QLD105" s="450"/>
      <c r="QLE105" s="450"/>
      <c r="QLF105" s="450"/>
      <c r="QLG105" s="450"/>
      <c r="QLH105" s="450"/>
      <c r="QLI105" s="450"/>
      <c r="QLJ105" s="450"/>
      <c r="QLK105" s="450"/>
      <c r="QLL105" s="450"/>
      <c r="QLM105" s="450"/>
      <c r="QLN105" s="450"/>
      <c r="QLO105" s="450"/>
      <c r="QLP105" s="450"/>
      <c r="QLQ105" s="450"/>
      <c r="QLR105" s="450"/>
      <c r="QLS105" s="450"/>
      <c r="QLT105" s="450"/>
      <c r="QLU105" s="450"/>
      <c r="QLV105" s="450"/>
      <c r="QLW105" s="450"/>
      <c r="QLX105" s="450"/>
      <c r="QLY105" s="450"/>
      <c r="QLZ105" s="450"/>
      <c r="QMA105" s="450"/>
      <c r="QMB105" s="450"/>
      <c r="QMC105" s="450"/>
      <c r="QMD105" s="450"/>
      <c r="QME105" s="450"/>
      <c r="QMF105" s="450"/>
      <c r="QMG105" s="450"/>
      <c r="QMH105" s="450"/>
      <c r="QMI105" s="450"/>
      <c r="QMJ105" s="450"/>
      <c r="QMK105" s="450"/>
      <c r="QML105" s="450"/>
      <c r="QMM105" s="450"/>
      <c r="QMN105" s="450"/>
      <c r="QMO105" s="450"/>
      <c r="QMP105" s="450"/>
      <c r="QMQ105" s="450"/>
      <c r="QMR105" s="450"/>
      <c r="QMS105" s="450"/>
      <c r="QMT105" s="450"/>
      <c r="QMU105" s="450"/>
      <c r="QMV105" s="450"/>
      <c r="QMW105" s="450"/>
      <c r="QMX105" s="450"/>
      <c r="QMY105" s="450"/>
      <c r="QMZ105" s="450"/>
      <c r="QNA105" s="450"/>
      <c r="QNB105" s="450"/>
      <c r="QNC105" s="450"/>
      <c r="QND105" s="450"/>
      <c r="QNE105" s="450"/>
      <c r="QNF105" s="450"/>
      <c r="QNG105" s="450"/>
      <c r="QNH105" s="450"/>
      <c r="QNI105" s="450"/>
      <c r="QNJ105" s="450"/>
      <c r="QNK105" s="450"/>
      <c r="QNL105" s="450"/>
      <c r="QNM105" s="450"/>
      <c r="QNN105" s="450"/>
      <c r="QNO105" s="450"/>
      <c r="QNP105" s="450"/>
      <c r="QNQ105" s="450"/>
      <c r="QNR105" s="450"/>
      <c r="QNS105" s="450"/>
      <c r="QNT105" s="450"/>
      <c r="QNU105" s="450"/>
      <c r="QNV105" s="450"/>
      <c r="QNW105" s="450"/>
      <c r="QNX105" s="450"/>
      <c r="QNY105" s="450"/>
      <c r="QNZ105" s="450"/>
      <c r="QOA105" s="450"/>
      <c r="QOB105" s="450"/>
      <c r="QOC105" s="450"/>
      <c r="QOD105" s="450"/>
      <c r="QOE105" s="450"/>
      <c r="QOF105" s="450"/>
      <c r="QOG105" s="450"/>
      <c r="QOH105" s="450"/>
      <c r="QOI105" s="450"/>
      <c r="QOJ105" s="450"/>
      <c r="QOK105" s="450"/>
      <c r="QOL105" s="450"/>
      <c r="QOM105" s="450"/>
      <c r="QON105" s="450"/>
      <c r="QOO105" s="450"/>
      <c r="QOP105" s="450"/>
      <c r="QOQ105" s="450"/>
      <c r="QOR105" s="450"/>
      <c r="QOS105" s="450"/>
      <c r="QOT105" s="450"/>
      <c r="QOU105" s="450"/>
      <c r="QOV105" s="450"/>
      <c r="QOW105" s="450"/>
      <c r="QOX105" s="450"/>
      <c r="QOY105" s="450"/>
      <c r="QOZ105" s="450"/>
      <c r="QPA105" s="450"/>
      <c r="QPB105" s="450"/>
      <c r="QPC105" s="450"/>
      <c r="QPD105" s="450"/>
      <c r="QPE105" s="450"/>
      <c r="QPF105" s="450"/>
      <c r="QPG105" s="450"/>
      <c r="QPH105" s="450"/>
      <c r="QPI105" s="450"/>
      <c r="QPJ105" s="450"/>
      <c r="QPK105" s="450"/>
      <c r="QPL105" s="450"/>
      <c r="QPM105" s="450"/>
      <c r="QPN105" s="450"/>
      <c r="QPO105" s="450"/>
      <c r="QPP105" s="450"/>
      <c r="QPQ105" s="450"/>
      <c r="QPR105" s="450"/>
      <c r="QPS105" s="450"/>
      <c r="QPT105" s="450"/>
      <c r="QPU105" s="450"/>
      <c r="QPV105" s="450"/>
      <c r="QPW105" s="450"/>
      <c r="QPX105" s="450"/>
      <c r="QPY105" s="450"/>
      <c r="QPZ105" s="450"/>
      <c r="QQA105" s="450"/>
      <c r="QQB105" s="450"/>
      <c r="QQC105" s="450"/>
      <c r="QQD105" s="450"/>
      <c r="QQE105" s="450"/>
      <c r="QQF105" s="450"/>
      <c r="QQG105" s="450"/>
      <c r="QQH105" s="450"/>
      <c r="QQI105" s="450"/>
      <c r="QQJ105" s="450"/>
      <c r="QQK105" s="450"/>
      <c r="QQL105" s="450"/>
      <c r="QQM105" s="450"/>
      <c r="QQN105" s="450"/>
      <c r="QQO105" s="450"/>
      <c r="QQP105" s="450"/>
      <c r="QQQ105" s="450"/>
      <c r="QQR105" s="450"/>
      <c r="QQS105" s="450"/>
      <c r="QQT105" s="450"/>
      <c r="QQU105" s="450"/>
      <c r="QQV105" s="450"/>
      <c r="QQW105" s="450"/>
      <c r="QQX105" s="450"/>
      <c r="QQY105" s="450"/>
      <c r="QQZ105" s="450"/>
      <c r="QRA105" s="450"/>
      <c r="QRB105" s="450"/>
      <c r="QRC105" s="450"/>
      <c r="QRD105" s="450"/>
      <c r="QRE105" s="450"/>
      <c r="QRF105" s="450"/>
      <c r="QRG105" s="450"/>
      <c r="QRH105" s="450"/>
      <c r="QRI105" s="450"/>
      <c r="QRJ105" s="450"/>
      <c r="QRK105" s="450"/>
      <c r="QRL105" s="450"/>
      <c r="QRM105" s="450"/>
      <c r="QRN105" s="450"/>
      <c r="QRO105" s="450"/>
      <c r="QRP105" s="450"/>
      <c r="QRQ105" s="450"/>
      <c r="QRR105" s="450"/>
      <c r="QRS105" s="450"/>
      <c r="QRT105" s="450"/>
      <c r="QRU105" s="450"/>
      <c r="QRV105" s="450"/>
      <c r="QRW105" s="450"/>
      <c r="QRX105" s="450"/>
      <c r="QRY105" s="450"/>
      <c r="QRZ105" s="450"/>
      <c r="QSA105" s="450"/>
      <c r="QSB105" s="450"/>
      <c r="QSC105" s="450"/>
      <c r="QSD105" s="450"/>
      <c r="QSE105" s="450"/>
      <c r="QSF105" s="450"/>
      <c r="QSG105" s="450"/>
      <c r="QSH105" s="450"/>
      <c r="QSI105" s="450"/>
      <c r="QSJ105" s="450"/>
      <c r="QSK105" s="450"/>
      <c r="QSL105" s="450"/>
      <c r="QSM105" s="450"/>
      <c r="QSN105" s="450"/>
      <c r="QSO105" s="450"/>
      <c r="QSP105" s="450"/>
      <c r="QSQ105" s="450"/>
      <c r="QSR105" s="450"/>
      <c r="QSS105" s="450"/>
      <c r="QST105" s="450"/>
      <c r="QSU105" s="450"/>
      <c r="QSV105" s="450"/>
      <c r="QSW105" s="450"/>
      <c r="QSX105" s="450"/>
      <c r="QSY105" s="450"/>
      <c r="QSZ105" s="450"/>
      <c r="QTA105" s="450"/>
      <c r="QTB105" s="450"/>
      <c r="QTC105" s="450"/>
      <c r="QTD105" s="450"/>
      <c r="QTE105" s="450"/>
      <c r="QTF105" s="450"/>
      <c r="QTG105" s="450"/>
      <c r="QTH105" s="450"/>
      <c r="QTI105" s="450"/>
      <c r="QTJ105" s="450"/>
      <c r="QTK105" s="450"/>
      <c r="QTL105" s="450"/>
      <c r="QTM105" s="450"/>
      <c r="QTN105" s="450"/>
      <c r="QTO105" s="450"/>
      <c r="QTP105" s="450"/>
      <c r="QTQ105" s="450"/>
      <c r="QTR105" s="450"/>
      <c r="QTS105" s="450"/>
      <c r="QTT105" s="450"/>
      <c r="QTU105" s="450"/>
      <c r="QTV105" s="450"/>
      <c r="QTW105" s="450"/>
      <c r="QTX105" s="450"/>
      <c r="QTY105" s="450"/>
      <c r="QTZ105" s="450"/>
      <c r="QUA105" s="450"/>
      <c r="QUB105" s="450"/>
      <c r="QUC105" s="450"/>
      <c r="QUD105" s="450"/>
      <c r="QUE105" s="450"/>
      <c r="QUF105" s="450"/>
      <c r="QUG105" s="450"/>
      <c r="QUH105" s="450"/>
      <c r="QUI105" s="450"/>
      <c r="QUJ105" s="450"/>
      <c r="QUK105" s="450"/>
      <c r="QUL105" s="450"/>
      <c r="QUM105" s="450"/>
      <c r="QUN105" s="450"/>
      <c r="QUO105" s="450"/>
      <c r="QUP105" s="450"/>
      <c r="QUQ105" s="450"/>
      <c r="QUR105" s="450"/>
      <c r="QUS105" s="450"/>
      <c r="QUT105" s="450"/>
      <c r="QUU105" s="450"/>
      <c r="QUV105" s="450"/>
      <c r="QUW105" s="450"/>
      <c r="QUX105" s="450"/>
      <c r="QUY105" s="450"/>
      <c r="QUZ105" s="450"/>
      <c r="QVA105" s="450"/>
      <c r="QVB105" s="450"/>
      <c r="QVC105" s="450"/>
      <c r="QVD105" s="450"/>
      <c r="QVE105" s="450"/>
      <c r="QVF105" s="450"/>
      <c r="QVG105" s="450"/>
      <c r="QVH105" s="450"/>
      <c r="QVI105" s="450"/>
      <c r="QVJ105" s="450"/>
      <c r="QVK105" s="450"/>
      <c r="QVL105" s="450"/>
      <c r="QVM105" s="450"/>
      <c r="QVN105" s="450"/>
      <c r="QVO105" s="450"/>
      <c r="QVP105" s="450"/>
      <c r="QVQ105" s="450"/>
      <c r="QVR105" s="450"/>
      <c r="QVS105" s="450"/>
      <c r="QVT105" s="450"/>
      <c r="QVU105" s="450"/>
      <c r="QVV105" s="450"/>
      <c r="QVW105" s="450"/>
      <c r="QVX105" s="450"/>
      <c r="QVY105" s="450"/>
      <c r="QVZ105" s="450"/>
      <c r="QWA105" s="450"/>
      <c r="QWB105" s="450"/>
      <c r="QWC105" s="450"/>
      <c r="QWD105" s="450"/>
      <c r="QWE105" s="450"/>
      <c r="QWF105" s="450"/>
      <c r="QWG105" s="450"/>
      <c r="QWH105" s="450"/>
      <c r="QWI105" s="450"/>
      <c r="QWJ105" s="450"/>
      <c r="QWK105" s="450"/>
      <c r="QWL105" s="450"/>
      <c r="QWM105" s="450"/>
      <c r="QWN105" s="450"/>
      <c r="QWO105" s="450"/>
      <c r="QWP105" s="450"/>
      <c r="QWQ105" s="450"/>
      <c r="QWR105" s="450"/>
      <c r="QWS105" s="450"/>
      <c r="QWT105" s="450"/>
      <c r="QWU105" s="450"/>
      <c r="QWV105" s="450"/>
      <c r="QWW105" s="450"/>
      <c r="QWX105" s="450"/>
      <c r="QWY105" s="450"/>
      <c r="QWZ105" s="450"/>
      <c r="QXA105" s="450"/>
      <c r="QXB105" s="450"/>
      <c r="QXC105" s="450"/>
      <c r="QXD105" s="450"/>
      <c r="QXE105" s="450"/>
      <c r="QXF105" s="450"/>
      <c r="QXG105" s="450"/>
      <c r="QXH105" s="450"/>
      <c r="QXI105" s="450"/>
      <c r="QXJ105" s="450"/>
      <c r="QXK105" s="450"/>
      <c r="QXL105" s="450"/>
      <c r="QXM105" s="450"/>
      <c r="QXN105" s="450"/>
      <c r="QXO105" s="450"/>
      <c r="QXP105" s="450"/>
      <c r="QXQ105" s="450"/>
      <c r="QXR105" s="450"/>
      <c r="QXS105" s="450"/>
      <c r="QXT105" s="450"/>
      <c r="QXU105" s="450"/>
      <c r="QXV105" s="450"/>
      <c r="QXW105" s="450"/>
      <c r="QXX105" s="450"/>
      <c r="QXY105" s="450"/>
      <c r="QXZ105" s="450"/>
      <c r="QYA105" s="450"/>
      <c r="QYB105" s="450"/>
      <c r="QYC105" s="450"/>
      <c r="QYD105" s="450"/>
      <c r="QYE105" s="450"/>
      <c r="QYF105" s="450"/>
      <c r="QYG105" s="450"/>
      <c r="QYH105" s="450"/>
      <c r="QYI105" s="450"/>
      <c r="QYJ105" s="450"/>
      <c r="QYK105" s="450"/>
      <c r="QYL105" s="450"/>
      <c r="QYM105" s="450"/>
      <c r="QYN105" s="450"/>
      <c r="QYO105" s="450"/>
      <c r="QYP105" s="450"/>
      <c r="QYQ105" s="450"/>
      <c r="QYR105" s="450"/>
      <c r="QYS105" s="450"/>
      <c r="QYT105" s="450"/>
      <c r="QYU105" s="450"/>
      <c r="QYV105" s="450"/>
      <c r="QYW105" s="450"/>
      <c r="QYX105" s="450"/>
      <c r="QYY105" s="450"/>
      <c r="QYZ105" s="450"/>
      <c r="QZA105" s="450"/>
      <c r="QZB105" s="450"/>
      <c r="QZC105" s="450"/>
      <c r="QZD105" s="450"/>
      <c r="QZE105" s="450"/>
      <c r="QZF105" s="450"/>
      <c r="QZG105" s="450"/>
      <c r="QZH105" s="450"/>
      <c r="QZI105" s="450"/>
      <c r="QZJ105" s="450"/>
      <c r="QZK105" s="450"/>
      <c r="QZL105" s="450"/>
      <c r="QZM105" s="450"/>
      <c r="QZN105" s="450"/>
      <c r="QZO105" s="450"/>
      <c r="QZP105" s="450"/>
      <c r="QZQ105" s="450"/>
      <c r="QZR105" s="450"/>
      <c r="QZS105" s="450"/>
      <c r="QZT105" s="450"/>
      <c r="QZU105" s="450"/>
      <c r="QZV105" s="450"/>
      <c r="QZW105" s="450"/>
      <c r="QZX105" s="450"/>
      <c r="QZY105" s="450"/>
      <c r="QZZ105" s="450"/>
      <c r="RAA105" s="450"/>
      <c r="RAB105" s="450"/>
      <c r="RAC105" s="450"/>
      <c r="RAD105" s="450"/>
      <c r="RAE105" s="450"/>
      <c r="RAF105" s="450"/>
      <c r="RAG105" s="450"/>
      <c r="RAH105" s="450"/>
      <c r="RAI105" s="450"/>
      <c r="RAJ105" s="450"/>
      <c r="RAK105" s="450"/>
      <c r="RAL105" s="450"/>
      <c r="RAM105" s="450"/>
      <c r="RAN105" s="450"/>
      <c r="RAO105" s="450"/>
      <c r="RAP105" s="450"/>
      <c r="RAQ105" s="450"/>
      <c r="RAR105" s="450"/>
      <c r="RAS105" s="450"/>
      <c r="RAT105" s="450"/>
      <c r="RAU105" s="450"/>
      <c r="RAV105" s="450"/>
      <c r="RAW105" s="450"/>
      <c r="RAX105" s="450"/>
      <c r="RAY105" s="450"/>
      <c r="RAZ105" s="450"/>
      <c r="RBA105" s="450"/>
      <c r="RBB105" s="450"/>
      <c r="RBC105" s="450"/>
      <c r="RBD105" s="450"/>
      <c r="RBE105" s="450"/>
      <c r="RBF105" s="450"/>
      <c r="RBG105" s="450"/>
      <c r="RBH105" s="450"/>
      <c r="RBI105" s="450"/>
      <c r="RBJ105" s="450"/>
      <c r="RBK105" s="450"/>
      <c r="RBL105" s="450"/>
      <c r="RBM105" s="450"/>
      <c r="RBN105" s="450"/>
      <c r="RBO105" s="450"/>
      <c r="RBP105" s="450"/>
      <c r="RBQ105" s="450"/>
      <c r="RBR105" s="450"/>
      <c r="RBS105" s="450"/>
      <c r="RBT105" s="450"/>
      <c r="RBU105" s="450"/>
      <c r="RBV105" s="450"/>
      <c r="RBW105" s="450"/>
      <c r="RBX105" s="450"/>
      <c r="RBY105" s="450"/>
      <c r="RBZ105" s="450"/>
      <c r="RCA105" s="450"/>
      <c r="RCB105" s="450"/>
      <c r="RCC105" s="450"/>
      <c r="RCD105" s="450"/>
      <c r="RCE105" s="450"/>
      <c r="RCF105" s="450"/>
      <c r="RCG105" s="450"/>
      <c r="RCH105" s="450"/>
      <c r="RCI105" s="450"/>
      <c r="RCJ105" s="450"/>
      <c r="RCK105" s="450"/>
      <c r="RCL105" s="450"/>
      <c r="RCM105" s="450"/>
      <c r="RCN105" s="450"/>
      <c r="RCO105" s="450"/>
      <c r="RCP105" s="450"/>
      <c r="RCQ105" s="450"/>
      <c r="RCR105" s="450"/>
      <c r="RCS105" s="450"/>
      <c r="RCT105" s="450"/>
      <c r="RCU105" s="450"/>
      <c r="RCV105" s="450"/>
      <c r="RCW105" s="450"/>
      <c r="RCX105" s="450"/>
      <c r="RCY105" s="450"/>
      <c r="RCZ105" s="450"/>
      <c r="RDA105" s="450"/>
      <c r="RDB105" s="450"/>
      <c r="RDC105" s="450"/>
      <c r="RDD105" s="450"/>
      <c r="RDE105" s="450"/>
      <c r="RDF105" s="450"/>
      <c r="RDG105" s="450"/>
      <c r="RDH105" s="450"/>
      <c r="RDI105" s="450"/>
      <c r="RDJ105" s="450"/>
      <c r="RDK105" s="450"/>
      <c r="RDL105" s="450"/>
      <c r="RDM105" s="450"/>
      <c r="RDN105" s="450"/>
      <c r="RDO105" s="450"/>
      <c r="RDP105" s="450"/>
      <c r="RDQ105" s="450"/>
      <c r="RDR105" s="450"/>
      <c r="RDS105" s="450"/>
      <c r="RDT105" s="450"/>
      <c r="RDU105" s="450"/>
      <c r="RDV105" s="450"/>
      <c r="RDW105" s="450"/>
      <c r="RDX105" s="450"/>
      <c r="RDY105" s="450"/>
      <c r="RDZ105" s="450"/>
      <c r="REA105" s="450"/>
      <c r="REB105" s="450"/>
      <c r="REC105" s="450"/>
      <c r="RED105" s="450"/>
      <c r="REE105" s="450"/>
      <c r="REF105" s="450"/>
      <c r="REG105" s="450"/>
      <c r="REH105" s="450"/>
      <c r="REI105" s="450"/>
      <c r="REJ105" s="450"/>
      <c r="REK105" s="450"/>
      <c r="REL105" s="450"/>
      <c r="REM105" s="450"/>
      <c r="REN105" s="450"/>
      <c r="REO105" s="450"/>
      <c r="REP105" s="450"/>
      <c r="REQ105" s="450"/>
      <c r="RER105" s="450"/>
      <c r="RES105" s="450"/>
      <c r="RET105" s="450"/>
      <c r="REU105" s="450"/>
      <c r="REV105" s="450"/>
      <c r="REW105" s="450"/>
      <c r="REX105" s="450"/>
      <c r="REY105" s="450"/>
      <c r="REZ105" s="450"/>
      <c r="RFA105" s="450"/>
      <c r="RFB105" s="450"/>
      <c r="RFC105" s="450"/>
      <c r="RFD105" s="450"/>
      <c r="RFE105" s="450"/>
      <c r="RFF105" s="450"/>
      <c r="RFG105" s="450"/>
      <c r="RFH105" s="450"/>
      <c r="RFI105" s="450"/>
      <c r="RFJ105" s="450"/>
      <c r="RFK105" s="450"/>
      <c r="RFL105" s="450"/>
      <c r="RFM105" s="450"/>
      <c r="RFN105" s="450"/>
      <c r="RFO105" s="450"/>
      <c r="RFP105" s="450"/>
      <c r="RFQ105" s="450"/>
      <c r="RFR105" s="450"/>
      <c r="RFS105" s="450"/>
      <c r="RFT105" s="450"/>
      <c r="RFU105" s="450"/>
      <c r="RFV105" s="450"/>
      <c r="RFW105" s="450"/>
      <c r="RFX105" s="450"/>
      <c r="RFY105" s="450"/>
      <c r="RFZ105" s="450"/>
      <c r="RGA105" s="450"/>
      <c r="RGB105" s="450"/>
      <c r="RGC105" s="450"/>
      <c r="RGD105" s="450"/>
      <c r="RGE105" s="450"/>
      <c r="RGF105" s="450"/>
      <c r="RGG105" s="450"/>
      <c r="RGH105" s="450"/>
      <c r="RGI105" s="450"/>
      <c r="RGJ105" s="450"/>
      <c r="RGK105" s="450"/>
      <c r="RGL105" s="450"/>
      <c r="RGM105" s="450"/>
      <c r="RGN105" s="450"/>
      <c r="RGO105" s="450"/>
      <c r="RGP105" s="450"/>
      <c r="RGQ105" s="450"/>
      <c r="RGR105" s="450"/>
      <c r="RGS105" s="450"/>
      <c r="RGT105" s="450"/>
      <c r="RGU105" s="450"/>
      <c r="RGV105" s="450"/>
      <c r="RGW105" s="450"/>
      <c r="RGX105" s="450"/>
      <c r="RGY105" s="450"/>
      <c r="RGZ105" s="450"/>
      <c r="RHA105" s="450"/>
      <c r="RHB105" s="450"/>
      <c r="RHC105" s="450"/>
      <c r="RHD105" s="450"/>
      <c r="RHE105" s="450"/>
      <c r="RHF105" s="450"/>
      <c r="RHG105" s="450"/>
      <c r="RHH105" s="450"/>
      <c r="RHI105" s="450"/>
      <c r="RHJ105" s="450"/>
      <c r="RHK105" s="450"/>
      <c r="RHL105" s="450"/>
      <c r="RHM105" s="450"/>
      <c r="RHN105" s="450"/>
      <c r="RHO105" s="450"/>
      <c r="RHP105" s="450"/>
      <c r="RHQ105" s="450"/>
      <c r="RHR105" s="450"/>
      <c r="RHS105" s="450"/>
      <c r="RHT105" s="450"/>
      <c r="RHU105" s="450"/>
      <c r="RHV105" s="450"/>
      <c r="RHW105" s="450"/>
      <c r="RHX105" s="450"/>
      <c r="RHY105" s="450"/>
      <c r="RHZ105" s="450"/>
      <c r="RIA105" s="450"/>
      <c r="RIB105" s="450"/>
      <c r="RIC105" s="450"/>
      <c r="RID105" s="450"/>
      <c r="RIE105" s="450"/>
      <c r="RIF105" s="450"/>
      <c r="RIG105" s="450"/>
      <c r="RIH105" s="450"/>
      <c r="RII105" s="450"/>
      <c r="RIJ105" s="450"/>
      <c r="RIK105" s="450"/>
      <c r="RIL105" s="450"/>
      <c r="RIM105" s="450"/>
      <c r="RIN105" s="450"/>
      <c r="RIO105" s="450"/>
      <c r="RIP105" s="450"/>
      <c r="RIQ105" s="450"/>
      <c r="RIR105" s="450"/>
      <c r="RIS105" s="450"/>
      <c r="RIT105" s="450"/>
      <c r="RIU105" s="450"/>
      <c r="RIV105" s="450"/>
      <c r="RIW105" s="450"/>
      <c r="RIX105" s="450"/>
      <c r="RIY105" s="450"/>
      <c r="RIZ105" s="450"/>
      <c r="RJA105" s="450"/>
      <c r="RJB105" s="450"/>
      <c r="RJC105" s="450"/>
      <c r="RJD105" s="450"/>
      <c r="RJE105" s="450"/>
      <c r="RJF105" s="450"/>
      <c r="RJG105" s="450"/>
      <c r="RJH105" s="450"/>
      <c r="RJI105" s="450"/>
      <c r="RJJ105" s="450"/>
      <c r="RJK105" s="450"/>
      <c r="RJL105" s="450"/>
      <c r="RJM105" s="450"/>
      <c r="RJN105" s="450"/>
      <c r="RJO105" s="450"/>
      <c r="RJP105" s="450"/>
      <c r="RJQ105" s="450"/>
      <c r="RJR105" s="450"/>
      <c r="RJS105" s="450"/>
      <c r="RJT105" s="450"/>
      <c r="RJU105" s="450"/>
      <c r="RJV105" s="450"/>
      <c r="RJW105" s="450"/>
      <c r="RJX105" s="450"/>
      <c r="RJY105" s="450"/>
      <c r="RJZ105" s="450"/>
      <c r="RKA105" s="450"/>
      <c r="RKB105" s="450"/>
      <c r="RKC105" s="450"/>
      <c r="RKD105" s="450"/>
      <c r="RKE105" s="450"/>
      <c r="RKF105" s="450"/>
      <c r="RKG105" s="450"/>
      <c r="RKH105" s="450"/>
      <c r="RKI105" s="450"/>
      <c r="RKJ105" s="450"/>
      <c r="RKK105" s="450"/>
      <c r="RKL105" s="450"/>
      <c r="RKM105" s="450"/>
      <c r="RKN105" s="450"/>
      <c r="RKO105" s="450"/>
      <c r="RKP105" s="450"/>
      <c r="RKQ105" s="450"/>
      <c r="RKR105" s="450"/>
      <c r="RKS105" s="450"/>
      <c r="RKT105" s="450"/>
      <c r="RKU105" s="450"/>
      <c r="RKV105" s="450"/>
      <c r="RKW105" s="450"/>
      <c r="RKX105" s="450"/>
      <c r="RKY105" s="450"/>
      <c r="RKZ105" s="450"/>
      <c r="RLA105" s="450"/>
      <c r="RLB105" s="450"/>
      <c r="RLC105" s="450"/>
      <c r="RLD105" s="450"/>
      <c r="RLE105" s="450"/>
      <c r="RLF105" s="450"/>
      <c r="RLG105" s="450"/>
      <c r="RLH105" s="450"/>
      <c r="RLI105" s="450"/>
      <c r="RLJ105" s="450"/>
      <c r="RLK105" s="450"/>
      <c r="RLL105" s="450"/>
      <c r="RLM105" s="450"/>
      <c r="RLN105" s="450"/>
      <c r="RLO105" s="450"/>
      <c r="RLP105" s="450"/>
      <c r="RLQ105" s="450"/>
      <c r="RLR105" s="450"/>
      <c r="RLS105" s="450"/>
      <c r="RLT105" s="450"/>
      <c r="RLU105" s="450"/>
      <c r="RLV105" s="450"/>
      <c r="RLW105" s="450"/>
      <c r="RLX105" s="450"/>
      <c r="RLY105" s="450"/>
      <c r="RLZ105" s="450"/>
      <c r="RMA105" s="450"/>
      <c r="RMB105" s="450"/>
      <c r="RMC105" s="450"/>
      <c r="RMD105" s="450"/>
      <c r="RME105" s="450"/>
      <c r="RMF105" s="450"/>
      <c r="RMG105" s="450"/>
      <c r="RMH105" s="450"/>
      <c r="RMI105" s="450"/>
      <c r="RMJ105" s="450"/>
      <c r="RMK105" s="450"/>
      <c r="RML105" s="450"/>
      <c r="RMM105" s="450"/>
      <c r="RMN105" s="450"/>
      <c r="RMO105" s="450"/>
      <c r="RMP105" s="450"/>
      <c r="RMQ105" s="450"/>
      <c r="RMR105" s="450"/>
      <c r="RMS105" s="450"/>
      <c r="RMT105" s="450"/>
      <c r="RMU105" s="450"/>
      <c r="RMV105" s="450"/>
      <c r="RMW105" s="450"/>
      <c r="RMX105" s="450"/>
      <c r="RMY105" s="450"/>
      <c r="RMZ105" s="450"/>
      <c r="RNA105" s="450"/>
      <c r="RNB105" s="450"/>
      <c r="RNC105" s="450"/>
      <c r="RND105" s="450"/>
      <c r="RNE105" s="450"/>
      <c r="RNF105" s="450"/>
      <c r="RNG105" s="450"/>
      <c r="RNH105" s="450"/>
      <c r="RNI105" s="450"/>
      <c r="RNJ105" s="450"/>
      <c r="RNK105" s="450"/>
      <c r="RNL105" s="450"/>
      <c r="RNM105" s="450"/>
      <c r="RNN105" s="450"/>
      <c r="RNO105" s="450"/>
      <c r="RNP105" s="450"/>
      <c r="RNQ105" s="450"/>
      <c r="RNR105" s="450"/>
      <c r="RNS105" s="450"/>
      <c r="RNT105" s="450"/>
      <c r="RNU105" s="450"/>
      <c r="RNV105" s="450"/>
      <c r="RNW105" s="450"/>
      <c r="RNX105" s="450"/>
      <c r="RNY105" s="450"/>
      <c r="RNZ105" s="450"/>
      <c r="ROA105" s="450"/>
      <c r="ROB105" s="450"/>
      <c r="ROC105" s="450"/>
      <c r="ROD105" s="450"/>
      <c r="ROE105" s="450"/>
      <c r="ROF105" s="450"/>
      <c r="ROG105" s="450"/>
      <c r="ROH105" s="450"/>
      <c r="ROI105" s="450"/>
      <c r="ROJ105" s="450"/>
      <c r="ROK105" s="450"/>
      <c r="ROL105" s="450"/>
      <c r="ROM105" s="450"/>
      <c r="RON105" s="450"/>
      <c r="ROO105" s="450"/>
      <c r="ROP105" s="450"/>
      <c r="ROQ105" s="450"/>
      <c r="ROR105" s="450"/>
      <c r="ROS105" s="450"/>
      <c r="ROT105" s="450"/>
      <c r="ROU105" s="450"/>
      <c r="ROV105" s="450"/>
      <c r="ROW105" s="450"/>
      <c r="ROX105" s="450"/>
      <c r="ROY105" s="450"/>
      <c r="ROZ105" s="450"/>
      <c r="RPA105" s="450"/>
      <c r="RPB105" s="450"/>
      <c r="RPC105" s="450"/>
      <c r="RPD105" s="450"/>
      <c r="RPE105" s="450"/>
      <c r="RPF105" s="450"/>
      <c r="RPG105" s="450"/>
      <c r="RPH105" s="450"/>
      <c r="RPI105" s="450"/>
      <c r="RPJ105" s="450"/>
      <c r="RPK105" s="450"/>
      <c r="RPL105" s="450"/>
      <c r="RPM105" s="450"/>
      <c r="RPN105" s="450"/>
      <c r="RPO105" s="450"/>
      <c r="RPP105" s="450"/>
      <c r="RPQ105" s="450"/>
      <c r="RPR105" s="450"/>
      <c r="RPS105" s="450"/>
      <c r="RPT105" s="450"/>
      <c r="RPU105" s="450"/>
      <c r="RPV105" s="450"/>
      <c r="RPW105" s="450"/>
      <c r="RPX105" s="450"/>
      <c r="RPY105" s="450"/>
      <c r="RPZ105" s="450"/>
      <c r="RQA105" s="450"/>
      <c r="RQB105" s="450"/>
      <c r="RQC105" s="450"/>
      <c r="RQD105" s="450"/>
      <c r="RQE105" s="450"/>
      <c r="RQF105" s="450"/>
      <c r="RQG105" s="450"/>
      <c r="RQH105" s="450"/>
      <c r="RQI105" s="450"/>
      <c r="RQJ105" s="450"/>
      <c r="RQK105" s="450"/>
      <c r="RQL105" s="450"/>
      <c r="RQM105" s="450"/>
      <c r="RQN105" s="450"/>
      <c r="RQO105" s="450"/>
      <c r="RQP105" s="450"/>
      <c r="RQQ105" s="450"/>
      <c r="RQR105" s="450"/>
      <c r="RQS105" s="450"/>
      <c r="RQT105" s="450"/>
      <c r="RQU105" s="450"/>
      <c r="RQV105" s="450"/>
      <c r="RQW105" s="450"/>
      <c r="RQX105" s="450"/>
      <c r="RQY105" s="450"/>
      <c r="RQZ105" s="450"/>
      <c r="RRA105" s="450"/>
      <c r="RRB105" s="450"/>
      <c r="RRC105" s="450"/>
      <c r="RRD105" s="450"/>
      <c r="RRE105" s="450"/>
      <c r="RRF105" s="450"/>
      <c r="RRG105" s="450"/>
      <c r="RRH105" s="450"/>
      <c r="RRI105" s="450"/>
      <c r="RRJ105" s="450"/>
      <c r="RRK105" s="450"/>
      <c r="RRL105" s="450"/>
      <c r="RRM105" s="450"/>
      <c r="RRN105" s="450"/>
      <c r="RRO105" s="450"/>
      <c r="RRP105" s="450"/>
      <c r="RRQ105" s="450"/>
      <c r="RRR105" s="450"/>
      <c r="RRS105" s="450"/>
      <c r="RRT105" s="450"/>
      <c r="RRU105" s="450"/>
      <c r="RRV105" s="450"/>
      <c r="RRW105" s="450"/>
      <c r="RRX105" s="450"/>
      <c r="RRY105" s="450"/>
      <c r="RRZ105" s="450"/>
      <c r="RSA105" s="450"/>
      <c r="RSB105" s="450"/>
      <c r="RSC105" s="450"/>
      <c r="RSD105" s="450"/>
      <c r="RSE105" s="450"/>
      <c r="RSF105" s="450"/>
      <c r="RSG105" s="450"/>
      <c r="RSH105" s="450"/>
      <c r="RSI105" s="450"/>
      <c r="RSJ105" s="450"/>
      <c r="RSK105" s="450"/>
      <c r="RSL105" s="450"/>
      <c r="RSM105" s="450"/>
      <c r="RSN105" s="450"/>
      <c r="RSO105" s="450"/>
      <c r="RSP105" s="450"/>
      <c r="RSQ105" s="450"/>
      <c r="RSR105" s="450"/>
      <c r="RSS105" s="450"/>
      <c r="RST105" s="450"/>
      <c r="RSU105" s="450"/>
      <c r="RSV105" s="450"/>
      <c r="RSW105" s="450"/>
      <c r="RSX105" s="450"/>
      <c r="RSY105" s="450"/>
      <c r="RSZ105" s="450"/>
      <c r="RTA105" s="450"/>
      <c r="RTB105" s="450"/>
      <c r="RTC105" s="450"/>
      <c r="RTD105" s="450"/>
      <c r="RTE105" s="450"/>
      <c r="RTF105" s="450"/>
      <c r="RTG105" s="450"/>
      <c r="RTH105" s="450"/>
      <c r="RTI105" s="450"/>
      <c r="RTJ105" s="450"/>
      <c r="RTK105" s="450"/>
      <c r="RTL105" s="450"/>
      <c r="RTM105" s="450"/>
      <c r="RTN105" s="450"/>
      <c r="RTO105" s="450"/>
      <c r="RTP105" s="450"/>
      <c r="RTQ105" s="450"/>
      <c r="RTR105" s="450"/>
      <c r="RTS105" s="450"/>
      <c r="RTT105" s="450"/>
      <c r="RTU105" s="450"/>
      <c r="RTV105" s="450"/>
      <c r="RTW105" s="450"/>
      <c r="RTX105" s="450"/>
      <c r="RTY105" s="450"/>
      <c r="RTZ105" s="450"/>
      <c r="RUA105" s="450"/>
      <c r="RUB105" s="450"/>
      <c r="RUC105" s="450"/>
      <c r="RUD105" s="450"/>
      <c r="RUE105" s="450"/>
      <c r="RUF105" s="450"/>
      <c r="RUG105" s="450"/>
      <c r="RUH105" s="450"/>
      <c r="RUI105" s="450"/>
      <c r="RUJ105" s="450"/>
      <c r="RUK105" s="450"/>
      <c r="RUL105" s="450"/>
      <c r="RUM105" s="450"/>
      <c r="RUN105" s="450"/>
      <c r="RUO105" s="450"/>
      <c r="RUP105" s="450"/>
      <c r="RUQ105" s="450"/>
      <c r="RUR105" s="450"/>
      <c r="RUS105" s="450"/>
      <c r="RUT105" s="450"/>
      <c r="RUU105" s="450"/>
      <c r="RUV105" s="450"/>
      <c r="RUW105" s="450"/>
      <c r="RUX105" s="450"/>
      <c r="RUY105" s="450"/>
      <c r="RUZ105" s="450"/>
      <c r="RVA105" s="450"/>
      <c r="RVB105" s="450"/>
      <c r="RVC105" s="450"/>
      <c r="RVD105" s="450"/>
      <c r="RVE105" s="450"/>
      <c r="RVF105" s="450"/>
      <c r="RVG105" s="450"/>
      <c r="RVH105" s="450"/>
      <c r="RVI105" s="450"/>
      <c r="RVJ105" s="450"/>
      <c r="RVK105" s="450"/>
      <c r="RVL105" s="450"/>
      <c r="RVM105" s="450"/>
      <c r="RVN105" s="450"/>
      <c r="RVO105" s="450"/>
      <c r="RVP105" s="450"/>
      <c r="RVQ105" s="450"/>
      <c r="RVR105" s="450"/>
      <c r="RVS105" s="450"/>
      <c r="RVT105" s="450"/>
      <c r="RVU105" s="450"/>
      <c r="RVV105" s="450"/>
      <c r="RVW105" s="450"/>
      <c r="RVX105" s="450"/>
      <c r="RVY105" s="450"/>
      <c r="RVZ105" s="450"/>
      <c r="RWA105" s="450"/>
      <c r="RWB105" s="450"/>
      <c r="RWC105" s="450"/>
      <c r="RWD105" s="450"/>
      <c r="RWE105" s="450"/>
      <c r="RWF105" s="450"/>
      <c r="RWG105" s="450"/>
      <c r="RWH105" s="450"/>
      <c r="RWI105" s="450"/>
      <c r="RWJ105" s="450"/>
      <c r="RWK105" s="450"/>
      <c r="RWL105" s="450"/>
      <c r="RWM105" s="450"/>
      <c r="RWN105" s="450"/>
      <c r="RWO105" s="450"/>
      <c r="RWP105" s="450"/>
      <c r="RWQ105" s="450"/>
      <c r="RWR105" s="450"/>
      <c r="RWS105" s="450"/>
      <c r="RWT105" s="450"/>
      <c r="RWU105" s="450"/>
      <c r="RWV105" s="450"/>
      <c r="RWW105" s="450"/>
      <c r="RWX105" s="450"/>
      <c r="RWY105" s="450"/>
      <c r="RWZ105" s="450"/>
      <c r="RXA105" s="450"/>
      <c r="RXB105" s="450"/>
      <c r="RXC105" s="450"/>
      <c r="RXD105" s="450"/>
      <c r="RXE105" s="450"/>
      <c r="RXF105" s="450"/>
      <c r="RXG105" s="450"/>
      <c r="RXH105" s="450"/>
      <c r="RXI105" s="450"/>
      <c r="RXJ105" s="450"/>
      <c r="RXK105" s="450"/>
      <c r="RXL105" s="450"/>
      <c r="RXM105" s="450"/>
      <c r="RXN105" s="450"/>
      <c r="RXO105" s="450"/>
      <c r="RXP105" s="450"/>
      <c r="RXQ105" s="450"/>
      <c r="RXR105" s="450"/>
      <c r="RXS105" s="450"/>
      <c r="RXT105" s="450"/>
      <c r="RXU105" s="450"/>
      <c r="RXV105" s="450"/>
      <c r="RXW105" s="450"/>
      <c r="RXX105" s="450"/>
      <c r="RXY105" s="450"/>
      <c r="RXZ105" s="450"/>
      <c r="RYA105" s="450"/>
      <c r="RYB105" s="450"/>
      <c r="RYC105" s="450"/>
      <c r="RYD105" s="450"/>
      <c r="RYE105" s="450"/>
      <c r="RYF105" s="450"/>
      <c r="RYG105" s="450"/>
      <c r="RYH105" s="450"/>
      <c r="RYI105" s="450"/>
      <c r="RYJ105" s="450"/>
      <c r="RYK105" s="450"/>
      <c r="RYL105" s="450"/>
      <c r="RYM105" s="450"/>
      <c r="RYN105" s="450"/>
      <c r="RYO105" s="450"/>
      <c r="RYP105" s="450"/>
      <c r="RYQ105" s="450"/>
      <c r="RYR105" s="450"/>
      <c r="RYS105" s="450"/>
      <c r="RYT105" s="450"/>
      <c r="RYU105" s="450"/>
      <c r="RYV105" s="450"/>
      <c r="RYW105" s="450"/>
      <c r="RYX105" s="450"/>
      <c r="RYY105" s="450"/>
      <c r="RYZ105" s="450"/>
      <c r="RZA105" s="450"/>
      <c r="RZB105" s="450"/>
      <c r="RZC105" s="450"/>
      <c r="RZD105" s="450"/>
      <c r="RZE105" s="450"/>
      <c r="RZF105" s="450"/>
      <c r="RZG105" s="450"/>
      <c r="RZH105" s="450"/>
      <c r="RZI105" s="450"/>
      <c r="RZJ105" s="450"/>
      <c r="RZK105" s="450"/>
      <c r="RZL105" s="450"/>
      <c r="RZM105" s="450"/>
      <c r="RZN105" s="450"/>
      <c r="RZO105" s="450"/>
      <c r="RZP105" s="450"/>
      <c r="RZQ105" s="450"/>
      <c r="RZR105" s="450"/>
      <c r="RZS105" s="450"/>
      <c r="RZT105" s="450"/>
      <c r="RZU105" s="450"/>
      <c r="RZV105" s="450"/>
      <c r="RZW105" s="450"/>
      <c r="RZX105" s="450"/>
      <c r="RZY105" s="450"/>
      <c r="RZZ105" s="450"/>
      <c r="SAA105" s="450"/>
      <c r="SAB105" s="450"/>
      <c r="SAC105" s="450"/>
      <c r="SAD105" s="450"/>
      <c r="SAE105" s="450"/>
      <c r="SAF105" s="450"/>
      <c r="SAG105" s="450"/>
      <c r="SAH105" s="450"/>
      <c r="SAI105" s="450"/>
      <c r="SAJ105" s="450"/>
      <c r="SAK105" s="450"/>
      <c r="SAL105" s="450"/>
      <c r="SAM105" s="450"/>
      <c r="SAN105" s="450"/>
      <c r="SAO105" s="450"/>
      <c r="SAP105" s="450"/>
      <c r="SAQ105" s="450"/>
      <c r="SAR105" s="450"/>
      <c r="SAS105" s="450"/>
      <c r="SAT105" s="450"/>
      <c r="SAU105" s="450"/>
      <c r="SAV105" s="450"/>
      <c r="SAW105" s="450"/>
      <c r="SAX105" s="450"/>
      <c r="SAY105" s="450"/>
      <c r="SAZ105" s="450"/>
      <c r="SBA105" s="450"/>
      <c r="SBB105" s="450"/>
      <c r="SBC105" s="450"/>
      <c r="SBD105" s="450"/>
      <c r="SBE105" s="450"/>
      <c r="SBF105" s="450"/>
      <c r="SBG105" s="450"/>
      <c r="SBH105" s="450"/>
      <c r="SBI105" s="450"/>
      <c r="SBJ105" s="450"/>
      <c r="SBK105" s="450"/>
      <c r="SBL105" s="450"/>
      <c r="SBM105" s="450"/>
      <c r="SBN105" s="450"/>
      <c r="SBO105" s="450"/>
      <c r="SBP105" s="450"/>
      <c r="SBQ105" s="450"/>
      <c r="SBR105" s="450"/>
      <c r="SBS105" s="450"/>
      <c r="SBT105" s="450"/>
      <c r="SBU105" s="450"/>
      <c r="SBV105" s="450"/>
      <c r="SBW105" s="450"/>
      <c r="SBX105" s="450"/>
      <c r="SBY105" s="450"/>
      <c r="SBZ105" s="450"/>
      <c r="SCA105" s="450"/>
      <c r="SCB105" s="450"/>
      <c r="SCC105" s="450"/>
      <c r="SCD105" s="450"/>
      <c r="SCE105" s="450"/>
      <c r="SCF105" s="450"/>
      <c r="SCG105" s="450"/>
      <c r="SCH105" s="450"/>
      <c r="SCI105" s="450"/>
      <c r="SCJ105" s="450"/>
      <c r="SCK105" s="450"/>
      <c r="SCL105" s="450"/>
      <c r="SCM105" s="450"/>
      <c r="SCN105" s="450"/>
      <c r="SCO105" s="450"/>
      <c r="SCP105" s="450"/>
      <c r="SCQ105" s="450"/>
      <c r="SCR105" s="450"/>
      <c r="SCS105" s="450"/>
      <c r="SCT105" s="450"/>
      <c r="SCU105" s="450"/>
      <c r="SCV105" s="450"/>
      <c r="SCW105" s="450"/>
      <c r="SCX105" s="450"/>
      <c r="SCY105" s="450"/>
      <c r="SCZ105" s="450"/>
      <c r="SDA105" s="450"/>
      <c r="SDB105" s="450"/>
      <c r="SDC105" s="450"/>
      <c r="SDD105" s="450"/>
      <c r="SDE105" s="450"/>
      <c r="SDF105" s="450"/>
      <c r="SDG105" s="450"/>
      <c r="SDH105" s="450"/>
      <c r="SDI105" s="450"/>
      <c r="SDJ105" s="450"/>
      <c r="SDK105" s="450"/>
      <c r="SDL105" s="450"/>
      <c r="SDM105" s="450"/>
      <c r="SDN105" s="450"/>
      <c r="SDO105" s="450"/>
      <c r="SDP105" s="450"/>
      <c r="SDQ105" s="450"/>
      <c r="SDR105" s="450"/>
      <c r="SDS105" s="450"/>
      <c r="SDT105" s="450"/>
      <c r="SDU105" s="450"/>
      <c r="SDV105" s="450"/>
      <c r="SDW105" s="450"/>
      <c r="SDX105" s="450"/>
      <c r="SDY105" s="450"/>
      <c r="SDZ105" s="450"/>
      <c r="SEA105" s="450"/>
      <c r="SEB105" s="450"/>
      <c r="SEC105" s="450"/>
      <c r="SED105" s="450"/>
      <c r="SEE105" s="450"/>
      <c r="SEF105" s="450"/>
      <c r="SEG105" s="450"/>
      <c r="SEH105" s="450"/>
      <c r="SEI105" s="450"/>
      <c r="SEJ105" s="450"/>
      <c r="SEK105" s="450"/>
      <c r="SEL105" s="450"/>
      <c r="SEM105" s="450"/>
      <c r="SEN105" s="450"/>
      <c r="SEO105" s="450"/>
      <c r="SEP105" s="450"/>
      <c r="SEQ105" s="450"/>
      <c r="SER105" s="450"/>
      <c r="SES105" s="450"/>
      <c r="SET105" s="450"/>
      <c r="SEU105" s="450"/>
      <c r="SEV105" s="450"/>
      <c r="SEW105" s="450"/>
      <c r="SEX105" s="450"/>
      <c r="SEY105" s="450"/>
      <c r="SEZ105" s="450"/>
      <c r="SFA105" s="450"/>
      <c r="SFB105" s="450"/>
      <c r="SFC105" s="450"/>
      <c r="SFD105" s="450"/>
      <c r="SFE105" s="450"/>
      <c r="SFF105" s="450"/>
      <c r="SFG105" s="450"/>
      <c r="SFH105" s="450"/>
      <c r="SFI105" s="450"/>
      <c r="SFJ105" s="450"/>
      <c r="SFK105" s="450"/>
      <c r="SFL105" s="450"/>
      <c r="SFM105" s="450"/>
      <c r="SFN105" s="450"/>
      <c r="SFO105" s="450"/>
      <c r="SFP105" s="450"/>
      <c r="SFQ105" s="450"/>
      <c r="SFR105" s="450"/>
      <c r="SFS105" s="450"/>
      <c r="SFT105" s="450"/>
      <c r="SFU105" s="450"/>
      <c r="SFV105" s="450"/>
      <c r="SFW105" s="450"/>
      <c r="SFX105" s="450"/>
      <c r="SFY105" s="450"/>
      <c r="SFZ105" s="450"/>
      <c r="SGA105" s="450"/>
      <c r="SGB105" s="450"/>
      <c r="SGC105" s="450"/>
      <c r="SGD105" s="450"/>
      <c r="SGE105" s="450"/>
      <c r="SGF105" s="450"/>
      <c r="SGG105" s="450"/>
      <c r="SGH105" s="450"/>
      <c r="SGI105" s="450"/>
      <c r="SGJ105" s="450"/>
      <c r="SGK105" s="450"/>
      <c r="SGL105" s="450"/>
      <c r="SGM105" s="450"/>
      <c r="SGN105" s="450"/>
      <c r="SGO105" s="450"/>
      <c r="SGP105" s="450"/>
      <c r="SGQ105" s="450"/>
      <c r="SGR105" s="450"/>
      <c r="SGS105" s="450"/>
      <c r="SGT105" s="450"/>
      <c r="SGU105" s="450"/>
      <c r="SGV105" s="450"/>
      <c r="SGW105" s="450"/>
      <c r="SGX105" s="450"/>
      <c r="SGY105" s="450"/>
      <c r="SGZ105" s="450"/>
      <c r="SHA105" s="450"/>
      <c r="SHB105" s="450"/>
      <c r="SHC105" s="450"/>
      <c r="SHD105" s="450"/>
      <c r="SHE105" s="450"/>
      <c r="SHF105" s="450"/>
      <c r="SHG105" s="450"/>
      <c r="SHH105" s="450"/>
      <c r="SHI105" s="450"/>
      <c r="SHJ105" s="450"/>
      <c r="SHK105" s="450"/>
      <c r="SHL105" s="450"/>
      <c r="SHM105" s="450"/>
      <c r="SHN105" s="450"/>
      <c r="SHO105" s="450"/>
      <c r="SHP105" s="450"/>
      <c r="SHQ105" s="450"/>
      <c r="SHR105" s="450"/>
      <c r="SHS105" s="450"/>
      <c r="SHT105" s="450"/>
      <c r="SHU105" s="450"/>
      <c r="SHV105" s="450"/>
      <c r="SHW105" s="450"/>
      <c r="SHX105" s="450"/>
      <c r="SHY105" s="450"/>
      <c r="SHZ105" s="450"/>
      <c r="SIA105" s="450"/>
      <c r="SIB105" s="450"/>
      <c r="SIC105" s="450"/>
      <c r="SID105" s="450"/>
      <c r="SIE105" s="450"/>
      <c r="SIF105" s="450"/>
      <c r="SIG105" s="450"/>
      <c r="SIH105" s="450"/>
      <c r="SII105" s="450"/>
      <c r="SIJ105" s="450"/>
      <c r="SIK105" s="450"/>
      <c r="SIL105" s="450"/>
      <c r="SIM105" s="450"/>
      <c r="SIN105" s="450"/>
      <c r="SIO105" s="450"/>
      <c r="SIP105" s="450"/>
      <c r="SIQ105" s="450"/>
      <c r="SIR105" s="450"/>
      <c r="SIS105" s="450"/>
      <c r="SIT105" s="450"/>
      <c r="SIU105" s="450"/>
      <c r="SIV105" s="450"/>
      <c r="SIW105" s="450"/>
      <c r="SIX105" s="450"/>
      <c r="SIY105" s="450"/>
      <c r="SIZ105" s="450"/>
      <c r="SJA105" s="450"/>
      <c r="SJB105" s="450"/>
      <c r="SJC105" s="450"/>
      <c r="SJD105" s="450"/>
      <c r="SJE105" s="450"/>
      <c r="SJF105" s="450"/>
      <c r="SJG105" s="450"/>
      <c r="SJH105" s="450"/>
      <c r="SJI105" s="450"/>
      <c r="SJJ105" s="450"/>
      <c r="SJK105" s="450"/>
      <c r="SJL105" s="450"/>
      <c r="SJM105" s="450"/>
      <c r="SJN105" s="450"/>
      <c r="SJO105" s="450"/>
      <c r="SJP105" s="450"/>
      <c r="SJQ105" s="450"/>
      <c r="SJR105" s="450"/>
      <c r="SJS105" s="450"/>
      <c r="SJT105" s="450"/>
      <c r="SJU105" s="450"/>
      <c r="SJV105" s="450"/>
      <c r="SJW105" s="450"/>
      <c r="SJX105" s="450"/>
      <c r="SJY105" s="450"/>
      <c r="SJZ105" s="450"/>
      <c r="SKA105" s="450"/>
      <c r="SKB105" s="450"/>
      <c r="SKC105" s="450"/>
      <c r="SKD105" s="450"/>
      <c r="SKE105" s="450"/>
      <c r="SKF105" s="450"/>
      <c r="SKG105" s="450"/>
      <c r="SKH105" s="450"/>
      <c r="SKI105" s="450"/>
      <c r="SKJ105" s="450"/>
      <c r="SKK105" s="450"/>
      <c r="SKL105" s="450"/>
      <c r="SKM105" s="450"/>
      <c r="SKN105" s="450"/>
      <c r="SKO105" s="450"/>
      <c r="SKP105" s="450"/>
      <c r="SKQ105" s="450"/>
      <c r="SKR105" s="450"/>
      <c r="SKS105" s="450"/>
      <c r="SKT105" s="450"/>
      <c r="SKU105" s="450"/>
      <c r="SKV105" s="450"/>
      <c r="SKW105" s="450"/>
      <c r="SKX105" s="450"/>
      <c r="SKY105" s="450"/>
      <c r="SKZ105" s="450"/>
      <c r="SLA105" s="450"/>
      <c r="SLB105" s="450"/>
      <c r="SLC105" s="450"/>
      <c r="SLD105" s="450"/>
      <c r="SLE105" s="450"/>
      <c r="SLF105" s="450"/>
      <c r="SLG105" s="450"/>
      <c r="SLH105" s="450"/>
      <c r="SLI105" s="450"/>
      <c r="SLJ105" s="450"/>
      <c r="SLK105" s="450"/>
      <c r="SLL105" s="450"/>
      <c r="SLM105" s="450"/>
      <c r="SLN105" s="450"/>
      <c r="SLO105" s="450"/>
      <c r="SLP105" s="450"/>
      <c r="SLQ105" s="450"/>
      <c r="SLR105" s="450"/>
      <c r="SLS105" s="450"/>
      <c r="SLT105" s="450"/>
      <c r="SLU105" s="450"/>
      <c r="SLV105" s="450"/>
      <c r="SLW105" s="450"/>
      <c r="SLX105" s="450"/>
      <c r="SLY105" s="450"/>
      <c r="SLZ105" s="450"/>
      <c r="SMA105" s="450"/>
      <c r="SMB105" s="450"/>
      <c r="SMC105" s="450"/>
      <c r="SMD105" s="450"/>
      <c r="SME105" s="450"/>
      <c r="SMF105" s="450"/>
      <c r="SMG105" s="450"/>
      <c r="SMH105" s="450"/>
      <c r="SMI105" s="450"/>
      <c r="SMJ105" s="450"/>
      <c r="SMK105" s="450"/>
      <c r="SML105" s="450"/>
      <c r="SMM105" s="450"/>
      <c r="SMN105" s="450"/>
      <c r="SMO105" s="450"/>
      <c r="SMP105" s="450"/>
      <c r="SMQ105" s="450"/>
      <c r="SMR105" s="450"/>
      <c r="SMS105" s="450"/>
      <c r="SMT105" s="450"/>
      <c r="SMU105" s="450"/>
      <c r="SMV105" s="450"/>
      <c r="SMW105" s="450"/>
      <c r="SMX105" s="450"/>
      <c r="SMY105" s="450"/>
      <c r="SMZ105" s="450"/>
      <c r="SNA105" s="450"/>
      <c r="SNB105" s="450"/>
      <c r="SNC105" s="450"/>
      <c r="SND105" s="450"/>
      <c r="SNE105" s="450"/>
      <c r="SNF105" s="450"/>
      <c r="SNG105" s="450"/>
      <c r="SNH105" s="450"/>
      <c r="SNI105" s="450"/>
      <c r="SNJ105" s="450"/>
      <c r="SNK105" s="450"/>
      <c r="SNL105" s="450"/>
      <c r="SNM105" s="450"/>
      <c r="SNN105" s="450"/>
      <c r="SNO105" s="450"/>
      <c r="SNP105" s="450"/>
      <c r="SNQ105" s="450"/>
      <c r="SNR105" s="450"/>
      <c r="SNS105" s="450"/>
      <c r="SNT105" s="450"/>
      <c r="SNU105" s="450"/>
      <c r="SNV105" s="450"/>
      <c r="SNW105" s="450"/>
      <c r="SNX105" s="450"/>
      <c r="SNY105" s="450"/>
      <c r="SNZ105" s="450"/>
      <c r="SOA105" s="450"/>
      <c r="SOB105" s="450"/>
      <c r="SOC105" s="450"/>
      <c r="SOD105" s="450"/>
      <c r="SOE105" s="450"/>
      <c r="SOF105" s="450"/>
      <c r="SOG105" s="450"/>
      <c r="SOH105" s="450"/>
      <c r="SOI105" s="450"/>
      <c r="SOJ105" s="450"/>
      <c r="SOK105" s="450"/>
      <c r="SOL105" s="450"/>
      <c r="SOM105" s="450"/>
      <c r="SON105" s="450"/>
      <c r="SOO105" s="450"/>
      <c r="SOP105" s="450"/>
      <c r="SOQ105" s="450"/>
      <c r="SOR105" s="450"/>
      <c r="SOS105" s="450"/>
      <c r="SOT105" s="450"/>
      <c r="SOU105" s="450"/>
      <c r="SOV105" s="450"/>
      <c r="SOW105" s="450"/>
      <c r="SOX105" s="450"/>
      <c r="SOY105" s="450"/>
      <c r="SOZ105" s="450"/>
      <c r="SPA105" s="450"/>
      <c r="SPB105" s="450"/>
      <c r="SPC105" s="450"/>
      <c r="SPD105" s="450"/>
      <c r="SPE105" s="450"/>
      <c r="SPF105" s="450"/>
      <c r="SPG105" s="450"/>
      <c r="SPH105" s="450"/>
      <c r="SPI105" s="450"/>
      <c r="SPJ105" s="450"/>
      <c r="SPK105" s="450"/>
      <c r="SPL105" s="450"/>
      <c r="SPM105" s="450"/>
      <c r="SPN105" s="450"/>
      <c r="SPO105" s="450"/>
      <c r="SPP105" s="450"/>
      <c r="SPQ105" s="450"/>
      <c r="SPR105" s="450"/>
      <c r="SPS105" s="450"/>
      <c r="SPT105" s="450"/>
      <c r="SPU105" s="450"/>
      <c r="SPV105" s="450"/>
      <c r="SPW105" s="450"/>
      <c r="SPX105" s="450"/>
      <c r="SPY105" s="450"/>
      <c r="SPZ105" s="450"/>
      <c r="SQA105" s="450"/>
      <c r="SQB105" s="450"/>
      <c r="SQC105" s="450"/>
      <c r="SQD105" s="450"/>
      <c r="SQE105" s="450"/>
      <c r="SQF105" s="450"/>
      <c r="SQG105" s="450"/>
      <c r="SQH105" s="450"/>
      <c r="SQI105" s="450"/>
      <c r="SQJ105" s="450"/>
      <c r="SQK105" s="450"/>
      <c r="SQL105" s="450"/>
      <c r="SQM105" s="450"/>
      <c r="SQN105" s="450"/>
      <c r="SQO105" s="450"/>
      <c r="SQP105" s="450"/>
      <c r="SQQ105" s="450"/>
      <c r="SQR105" s="450"/>
      <c r="SQS105" s="450"/>
      <c r="SQT105" s="450"/>
      <c r="SQU105" s="450"/>
      <c r="SQV105" s="450"/>
      <c r="SQW105" s="450"/>
      <c r="SQX105" s="450"/>
      <c r="SQY105" s="450"/>
      <c r="SQZ105" s="450"/>
      <c r="SRA105" s="450"/>
      <c r="SRB105" s="450"/>
      <c r="SRC105" s="450"/>
      <c r="SRD105" s="450"/>
      <c r="SRE105" s="450"/>
      <c r="SRF105" s="450"/>
      <c r="SRG105" s="450"/>
      <c r="SRH105" s="450"/>
      <c r="SRI105" s="450"/>
      <c r="SRJ105" s="450"/>
      <c r="SRK105" s="450"/>
      <c r="SRL105" s="450"/>
      <c r="SRM105" s="450"/>
      <c r="SRN105" s="450"/>
      <c r="SRO105" s="450"/>
      <c r="SRP105" s="450"/>
      <c r="SRQ105" s="450"/>
      <c r="SRR105" s="450"/>
      <c r="SRS105" s="450"/>
      <c r="SRT105" s="450"/>
      <c r="SRU105" s="450"/>
      <c r="SRV105" s="450"/>
      <c r="SRW105" s="450"/>
      <c r="SRX105" s="450"/>
      <c r="SRY105" s="450"/>
      <c r="SRZ105" s="450"/>
      <c r="SSA105" s="450"/>
      <c r="SSB105" s="450"/>
      <c r="SSC105" s="450"/>
      <c r="SSD105" s="450"/>
      <c r="SSE105" s="450"/>
      <c r="SSF105" s="450"/>
      <c r="SSG105" s="450"/>
      <c r="SSH105" s="450"/>
      <c r="SSI105" s="450"/>
      <c r="SSJ105" s="450"/>
      <c r="SSK105" s="450"/>
      <c r="SSL105" s="450"/>
      <c r="SSM105" s="450"/>
      <c r="SSN105" s="450"/>
      <c r="SSO105" s="450"/>
      <c r="SSP105" s="450"/>
      <c r="SSQ105" s="450"/>
      <c r="SSR105" s="450"/>
      <c r="SSS105" s="450"/>
      <c r="SST105" s="450"/>
      <c r="SSU105" s="450"/>
      <c r="SSV105" s="450"/>
      <c r="SSW105" s="450"/>
      <c r="SSX105" s="450"/>
      <c r="SSY105" s="450"/>
      <c r="SSZ105" s="450"/>
      <c r="STA105" s="450"/>
      <c r="STB105" s="450"/>
      <c r="STC105" s="450"/>
      <c r="STD105" s="450"/>
      <c r="STE105" s="450"/>
      <c r="STF105" s="450"/>
      <c r="STG105" s="450"/>
      <c r="STH105" s="450"/>
      <c r="STI105" s="450"/>
      <c r="STJ105" s="450"/>
      <c r="STK105" s="450"/>
      <c r="STL105" s="450"/>
      <c r="STM105" s="450"/>
      <c r="STN105" s="450"/>
      <c r="STO105" s="450"/>
      <c r="STP105" s="450"/>
      <c r="STQ105" s="450"/>
      <c r="STR105" s="450"/>
      <c r="STS105" s="450"/>
      <c r="STT105" s="450"/>
      <c r="STU105" s="450"/>
      <c r="STV105" s="450"/>
      <c r="STW105" s="450"/>
      <c r="STX105" s="450"/>
      <c r="STY105" s="450"/>
      <c r="STZ105" s="450"/>
      <c r="SUA105" s="450"/>
      <c r="SUB105" s="450"/>
      <c r="SUC105" s="450"/>
      <c r="SUD105" s="450"/>
      <c r="SUE105" s="450"/>
      <c r="SUF105" s="450"/>
      <c r="SUG105" s="450"/>
      <c r="SUH105" s="450"/>
      <c r="SUI105" s="450"/>
      <c r="SUJ105" s="450"/>
      <c r="SUK105" s="450"/>
      <c r="SUL105" s="450"/>
      <c r="SUM105" s="450"/>
      <c r="SUN105" s="450"/>
      <c r="SUO105" s="450"/>
      <c r="SUP105" s="450"/>
      <c r="SUQ105" s="450"/>
      <c r="SUR105" s="450"/>
      <c r="SUS105" s="450"/>
      <c r="SUT105" s="450"/>
      <c r="SUU105" s="450"/>
      <c r="SUV105" s="450"/>
      <c r="SUW105" s="450"/>
      <c r="SUX105" s="450"/>
      <c r="SUY105" s="450"/>
      <c r="SUZ105" s="450"/>
      <c r="SVA105" s="450"/>
      <c r="SVB105" s="450"/>
      <c r="SVC105" s="450"/>
      <c r="SVD105" s="450"/>
      <c r="SVE105" s="450"/>
      <c r="SVF105" s="450"/>
      <c r="SVG105" s="450"/>
      <c r="SVH105" s="450"/>
      <c r="SVI105" s="450"/>
      <c r="SVJ105" s="450"/>
      <c r="SVK105" s="450"/>
      <c r="SVL105" s="450"/>
      <c r="SVM105" s="450"/>
      <c r="SVN105" s="450"/>
      <c r="SVO105" s="450"/>
      <c r="SVP105" s="450"/>
      <c r="SVQ105" s="450"/>
      <c r="SVR105" s="450"/>
      <c r="SVS105" s="450"/>
      <c r="SVT105" s="450"/>
      <c r="SVU105" s="450"/>
      <c r="SVV105" s="450"/>
      <c r="SVW105" s="450"/>
      <c r="SVX105" s="450"/>
      <c r="SVY105" s="450"/>
      <c r="SVZ105" s="450"/>
      <c r="SWA105" s="450"/>
      <c r="SWB105" s="450"/>
      <c r="SWC105" s="450"/>
      <c r="SWD105" s="450"/>
      <c r="SWE105" s="450"/>
      <c r="SWF105" s="450"/>
      <c r="SWG105" s="450"/>
      <c r="SWH105" s="450"/>
      <c r="SWI105" s="450"/>
      <c r="SWJ105" s="450"/>
      <c r="SWK105" s="450"/>
      <c r="SWL105" s="450"/>
      <c r="SWM105" s="450"/>
      <c r="SWN105" s="450"/>
      <c r="SWO105" s="450"/>
      <c r="SWP105" s="450"/>
      <c r="SWQ105" s="450"/>
      <c r="SWR105" s="450"/>
      <c r="SWS105" s="450"/>
      <c r="SWT105" s="450"/>
      <c r="SWU105" s="450"/>
      <c r="SWV105" s="450"/>
      <c r="SWW105" s="450"/>
      <c r="SWX105" s="450"/>
      <c r="SWY105" s="450"/>
      <c r="SWZ105" s="450"/>
      <c r="SXA105" s="450"/>
      <c r="SXB105" s="450"/>
      <c r="SXC105" s="450"/>
      <c r="SXD105" s="450"/>
      <c r="SXE105" s="450"/>
      <c r="SXF105" s="450"/>
      <c r="SXG105" s="450"/>
      <c r="SXH105" s="450"/>
      <c r="SXI105" s="450"/>
      <c r="SXJ105" s="450"/>
      <c r="SXK105" s="450"/>
      <c r="SXL105" s="450"/>
      <c r="SXM105" s="450"/>
      <c r="SXN105" s="450"/>
      <c r="SXO105" s="450"/>
      <c r="SXP105" s="450"/>
      <c r="SXQ105" s="450"/>
      <c r="SXR105" s="450"/>
      <c r="SXS105" s="450"/>
      <c r="SXT105" s="450"/>
      <c r="SXU105" s="450"/>
      <c r="SXV105" s="450"/>
      <c r="SXW105" s="450"/>
      <c r="SXX105" s="450"/>
      <c r="SXY105" s="450"/>
      <c r="SXZ105" s="450"/>
      <c r="SYA105" s="450"/>
      <c r="SYB105" s="450"/>
      <c r="SYC105" s="450"/>
      <c r="SYD105" s="450"/>
      <c r="SYE105" s="450"/>
      <c r="SYF105" s="450"/>
      <c r="SYG105" s="450"/>
      <c r="SYH105" s="450"/>
      <c r="SYI105" s="450"/>
      <c r="SYJ105" s="450"/>
      <c r="SYK105" s="450"/>
      <c r="SYL105" s="450"/>
      <c r="SYM105" s="450"/>
      <c r="SYN105" s="450"/>
      <c r="SYO105" s="450"/>
      <c r="SYP105" s="450"/>
      <c r="SYQ105" s="450"/>
      <c r="SYR105" s="450"/>
      <c r="SYS105" s="450"/>
      <c r="SYT105" s="450"/>
      <c r="SYU105" s="450"/>
      <c r="SYV105" s="450"/>
      <c r="SYW105" s="450"/>
      <c r="SYX105" s="450"/>
      <c r="SYY105" s="450"/>
      <c r="SYZ105" s="450"/>
      <c r="SZA105" s="450"/>
      <c r="SZB105" s="450"/>
      <c r="SZC105" s="450"/>
      <c r="SZD105" s="450"/>
      <c r="SZE105" s="450"/>
      <c r="SZF105" s="450"/>
      <c r="SZG105" s="450"/>
      <c r="SZH105" s="450"/>
      <c r="SZI105" s="450"/>
      <c r="SZJ105" s="450"/>
      <c r="SZK105" s="450"/>
      <c r="SZL105" s="450"/>
      <c r="SZM105" s="450"/>
      <c r="SZN105" s="450"/>
      <c r="SZO105" s="450"/>
      <c r="SZP105" s="450"/>
      <c r="SZQ105" s="450"/>
      <c r="SZR105" s="450"/>
      <c r="SZS105" s="450"/>
      <c r="SZT105" s="450"/>
      <c r="SZU105" s="450"/>
      <c r="SZV105" s="450"/>
      <c r="SZW105" s="450"/>
      <c r="SZX105" s="450"/>
      <c r="SZY105" s="450"/>
      <c r="SZZ105" s="450"/>
      <c r="TAA105" s="450"/>
      <c r="TAB105" s="450"/>
      <c r="TAC105" s="450"/>
      <c r="TAD105" s="450"/>
      <c r="TAE105" s="450"/>
      <c r="TAF105" s="450"/>
      <c r="TAG105" s="450"/>
      <c r="TAH105" s="450"/>
      <c r="TAI105" s="450"/>
      <c r="TAJ105" s="450"/>
      <c r="TAK105" s="450"/>
      <c r="TAL105" s="450"/>
      <c r="TAM105" s="450"/>
      <c r="TAN105" s="450"/>
      <c r="TAO105" s="450"/>
      <c r="TAP105" s="450"/>
      <c r="TAQ105" s="450"/>
      <c r="TAR105" s="450"/>
      <c r="TAS105" s="450"/>
      <c r="TAT105" s="450"/>
      <c r="TAU105" s="450"/>
      <c r="TAV105" s="450"/>
      <c r="TAW105" s="450"/>
      <c r="TAX105" s="450"/>
      <c r="TAY105" s="450"/>
      <c r="TAZ105" s="450"/>
      <c r="TBA105" s="450"/>
      <c r="TBB105" s="450"/>
      <c r="TBC105" s="450"/>
      <c r="TBD105" s="450"/>
      <c r="TBE105" s="450"/>
      <c r="TBF105" s="450"/>
      <c r="TBG105" s="450"/>
      <c r="TBH105" s="450"/>
      <c r="TBI105" s="450"/>
      <c r="TBJ105" s="450"/>
      <c r="TBK105" s="450"/>
      <c r="TBL105" s="450"/>
      <c r="TBM105" s="450"/>
      <c r="TBN105" s="450"/>
      <c r="TBO105" s="450"/>
      <c r="TBP105" s="450"/>
      <c r="TBQ105" s="450"/>
      <c r="TBR105" s="450"/>
      <c r="TBS105" s="450"/>
      <c r="TBT105" s="450"/>
      <c r="TBU105" s="450"/>
      <c r="TBV105" s="450"/>
      <c r="TBW105" s="450"/>
      <c r="TBX105" s="450"/>
      <c r="TBY105" s="450"/>
      <c r="TBZ105" s="450"/>
      <c r="TCA105" s="450"/>
      <c r="TCB105" s="450"/>
      <c r="TCC105" s="450"/>
      <c r="TCD105" s="450"/>
      <c r="TCE105" s="450"/>
      <c r="TCF105" s="450"/>
      <c r="TCG105" s="450"/>
      <c r="TCH105" s="450"/>
      <c r="TCI105" s="450"/>
      <c r="TCJ105" s="450"/>
      <c r="TCK105" s="450"/>
      <c r="TCL105" s="450"/>
      <c r="TCM105" s="450"/>
      <c r="TCN105" s="450"/>
      <c r="TCO105" s="450"/>
      <c r="TCP105" s="450"/>
      <c r="TCQ105" s="450"/>
      <c r="TCR105" s="450"/>
      <c r="TCS105" s="450"/>
      <c r="TCT105" s="450"/>
      <c r="TCU105" s="450"/>
      <c r="TCV105" s="450"/>
      <c r="TCW105" s="450"/>
      <c r="TCX105" s="450"/>
      <c r="TCY105" s="450"/>
      <c r="TCZ105" s="450"/>
      <c r="TDA105" s="450"/>
      <c r="TDB105" s="450"/>
      <c r="TDC105" s="450"/>
      <c r="TDD105" s="450"/>
      <c r="TDE105" s="450"/>
      <c r="TDF105" s="450"/>
      <c r="TDG105" s="450"/>
      <c r="TDH105" s="450"/>
      <c r="TDI105" s="450"/>
      <c r="TDJ105" s="450"/>
      <c r="TDK105" s="450"/>
      <c r="TDL105" s="450"/>
      <c r="TDM105" s="450"/>
      <c r="TDN105" s="450"/>
      <c r="TDO105" s="450"/>
      <c r="TDP105" s="450"/>
      <c r="TDQ105" s="450"/>
      <c r="TDR105" s="450"/>
      <c r="TDS105" s="450"/>
      <c r="TDT105" s="450"/>
      <c r="TDU105" s="450"/>
      <c r="TDV105" s="450"/>
      <c r="TDW105" s="450"/>
      <c r="TDX105" s="450"/>
      <c r="TDY105" s="450"/>
      <c r="TDZ105" s="450"/>
      <c r="TEA105" s="450"/>
      <c r="TEB105" s="450"/>
      <c r="TEC105" s="450"/>
      <c r="TED105" s="450"/>
      <c r="TEE105" s="450"/>
      <c r="TEF105" s="450"/>
      <c r="TEG105" s="450"/>
      <c r="TEH105" s="450"/>
      <c r="TEI105" s="450"/>
      <c r="TEJ105" s="450"/>
      <c r="TEK105" s="450"/>
      <c r="TEL105" s="450"/>
      <c r="TEM105" s="450"/>
      <c r="TEN105" s="450"/>
      <c r="TEO105" s="450"/>
      <c r="TEP105" s="450"/>
      <c r="TEQ105" s="450"/>
      <c r="TER105" s="450"/>
      <c r="TES105" s="450"/>
      <c r="TET105" s="450"/>
      <c r="TEU105" s="450"/>
      <c r="TEV105" s="450"/>
      <c r="TEW105" s="450"/>
      <c r="TEX105" s="450"/>
      <c r="TEY105" s="450"/>
      <c r="TEZ105" s="450"/>
      <c r="TFA105" s="450"/>
      <c r="TFB105" s="450"/>
      <c r="TFC105" s="450"/>
      <c r="TFD105" s="450"/>
      <c r="TFE105" s="450"/>
      <c r="TFF105" s="450"/>
      <c r="TFG105" s="450"/>
      <c r="TFH105" s="450"/>
      <c r="TFI105" s="450"/>
      <c r="TFJ105" s="450"/>
      <c r="TFK105" s="450"/>
      <c r="TFL105" s="450"/>
      <c r="TFM105" s="450"/>
      <c r="TFN105" s="450"/>
      <c r="TFO105" s="450"/>
      <c r="TFP105" s="450"/>
      <c r="TFQ105" s="450"/>
      <c r="TFR105" s="450"/>
      <c r="TFS105" s="450"/>
      <c r="TFT105" s="450"/>
      <c r="TFU105" s="450"/>
      <c r="TFV105" s="450"/>
      <c r="TFW105" s="450"/>
      <c r="TFX105" s="450"/>
      <c r="TFY105" s="450"/>
      <c r="TFZ105" s="450"/>
      <c r="TGA105" s="450"/>
      <c r="TGB105" s="450"/>
      <c r="TGC105" s="450"/>
      <c r="TGD105" s="450"/>
      <c r="TGE105" s="450"/>
      <c r="TGF105" s="450"/>
      <c r="TGG105" s="450"/>
      <c r="TGH105" s="450"/>
      <c r="TGI105" s="450"/>
      <c r="TGJ105" s="450"/>
      <c r="TGK105" s="450"/>
      <c r="TGL105" s="450"/>
      <c r="TGM105" s="450"/>
      <c r="TGN105" s="450"/>
      <c r="TGO105" s="450"/>
      <c r="TGP105" s="450"/>
      <c r="TGQ105" s="450"/>
      <c r="TGR105" s="450"/>
      <c r="TGS105" s="450"/>
      <c r="TGT105" s="450"/>
      <c r="TGU105" s="450"/>
      <c r="TGV105" s="450"/>
      <c r="TGW105" s="450"/>
      <c r="TGX105" s="450"/>
      <c r="TGY105" s="450"/>
      <c r="TGZ105" s="450"/>
      <c r="THA105" s="450"/>
      <c r="THB105" s="450"/>
      <c r="THC105" s="450"/>
      <c r="THD105" s="450"/>
      <c r="THE105" s="450"/>
      <c r="THF105" s="450"/>
      <c r="THG105" s="450"/>
      <c r="THH105" s="450"/>
      <c r="THI105" s="450"/>
      <c r="THJ105" s="450"/>
      <c r="THK105" s="450"/>
      <c r="THL105" s="450"/>
      <c r="THM105" s="450"/>
      <c r="THN105" s="450"/>
      <c r="THO105" s="450"/>
      <c r="THP105" s="450"/>
      <c r="THQ105" s="450"/>
      <c r="THR105" s="450"/>
      <c r="THS105" s="450"/>
      <c r="THT105" s="450"/>
      <c r="THU105" s="450"/>
      <c r="THV105" s="450"/>
      <c r="THW105" s="450"/>
      <c r="THX105" s="450"/>
      <c r="THY105" s="450"/>
      <c r="THZ105" s="450"/>
      <c r="TIA105" s="450"/>
      <c r="TIB105" s="450"/>
      <c r="TIC105" s="450"/>
      <c r="TID105" s="450"/>
      <c r="TIE105" s="450"/>
      <c r="TIF105" s="450"/>
      <c r="TIG105" s="450"/>
      <c r="TIH105" s="450"/>
      <c r="TII105" s="450"/>
      <c r="TIJ105" s="450"/>
      <c r="TIK105" s="450"/>
      <c r="TIL105" s="450"/>
      <c r="TIM105" s="450"/>
      <c r="TIN105" s="450"/>
      <c r="TIO105" s="450"/>
      <c r="TIP105" s="450"/>
      <c r="TIQ105" s="450"/>
      <c r="TIR105" s="450"/>
      <c r="TIS105" s="450"/>
      <c r="TIT105" s="450"/>
      <c r="TIU105" s="450"/>
      <c r="TIV105" s="450"/>
      <c r="TIW105" s="450"/>
      <c r="TIX105" s="450"/>
      <c r="TIY105" s="450"/>
      <c r="TIZ105" s="450"/>
      <c r="TJA105" s="450"/>
      <c r="TJB105" s="450"/>
      <c r="TJC105" s="450"/>
      <c r="TJD105" s="450"/>
      <c r="TJE105" s="450"/>
      <c r="TJF105" s="450"/>
      <c r="TJG105" s="450"/>
      <c r="TJH105" s="450"/>
      <c r="TJI105" s="450"/>
      <c r="TJJ105" s="450"/>
      <c r="TJK105" s="450"/>
      <c r="TJL105" s="450"/>
      <c r="TJM105" s="450"/>
      <c r="TJN105" s="450"/>
      <c r="TJO105" s="450"/>
      <c r="TJP105" s="450"/>
      <c r="TJQ105" s="450"/>
      <c r="TJR105" s="450"/>
      <c r="TJS105" s="450"/>
      <c r="TJT105" s="450"/>
      <c r="TJU105" s="450"/>
      <c r="TJV105" s="450"/>
      <c r="TJW105" s="450"/>
      <c r="TJX105" s="450"/>
      <c r="TJY105" s="450"/>
      <c r="TJZ105" s="450"/>
      <c r="TKA105" s="450"/>
      <c r="TKB105" s="450"/>
      <c r="TKC105" s="450"/>
      <c r="TKD105" s="450"/>
      <c r="TKE105" s="450"/>
      <c r="TKF105" s="450"/>
      <c r="TKG105" s="450"/>
      <c r="TKH105" s="450"/>
      <c r="TKI105" s="450"/>
      <c r="TKJ105" s="450"/>
      <c r="TKK105" s="450"/>
      <c r="TKL105" s="450"/>
      <c r="TKM105" s="450"/>
      <c r="TKN105" s="450"/>
      <c r="TKO105" s="450"/>
      <c r="TKP105" s="450"/>
      <c r="TKQ105" s="450"/>
      <c r="TKR105" s="450"/>
      <c r="TKS105" s="450"/>
      <c r="TKT105" s="450"/>
      <c r="TKU105" s="450"/>
      <c r="TKV105" s="450"/>
      <c r="TKW105" s="450"/>
      <c r="TKX105" s="450"/>
      <c r="TKY105" s="450"/>
      <c r="TKZ105" s="450"/>
      <c r="TLA105" s="450"/>
      <c r="TLB105" s="450"/>
      <c r="TLC105" s="450"/>
      <c r="TLD105" s="450"/>
      <c r="TLE105" s="450"/>
      <c r="TLF105" s="450"/>
      <c r="TLG105" s="450"/>
      <c r="TLH105" s="450"/>
      <c r="TLI105" s="450"/>
      <c r="TLJ105" s="450"/>
      <c r="TLK105" s="450"/>
      <c r="TLL105" s="450"/>
      <c r="TLM105" s="450"/>
      <c r="TLN105" s="450"/>
      <c r="TLO105" s="450"/>
      <c r="TLP105" s="450"/>
      <c r="TLQ105" s="450"/>
      <c r="TLR105" s="450"/>
      <c r="TLS105" s="450"/>
      <c r="TLT105" s="450"/>
      <c r="TLU105" s="450"/>
      <c r="TLV105" s="450"/>
      <c r="TLW105" s="450"/>
      <c r="TLX105" s="450"/>
      <c r="TLY105" s="450"/>
      <c r="TLZ105" s="450"/>
      <c r="TMA105" s="450"/>
      <c r="TMB105" s="450"/>
      <c r="TMC105" s="450"/>
      <c r="TMD105" s="450"/>
      <c r="TME105" s="450"/>
      <c r="TMF105" s="450"/>
      <c r="TMG105" s="450"/>
      <c r="TMH105" s="450"/>
      <c r="TMI105" s="450"/>
      <c r="TMJ105" s="450"/>
      <c r="TMK105" s="450"/>
      <c r="TML105" s="450"/>
      <c r="TMM105" s="450"/>
      <c r="TMN105" s="450"/>
      <c r="TMO105" s="450"/>
      <c r="TMP105" s="450"/>
      <c r="TMQ105" s="450"/>
      <c r="TMR105" s="450"/>
      <c r="TMS105" s="450"/>
      <c r="TMT105" s="450"/>
      <c r="TMU105" s="450"/>
      <c r="TMV105" s="450"/>
      <c r="TMW105" s="450"/>
      <c r="TMX105" s="450"/>
      <c r="TMY105" s="450"/>
      <c r="TMZ105" s="450"/>
      <c r="TNA105" s="450"/>
      <c r="TNB105" s="450"/>
      <c r="TNC105" s="450"/>
      <c r="TND105" s="450"/>
      <c r="TNE105" s="450"/>
      <c r="TNF105" s="450"/>
      <c r="TNG105" s="450"/>
      <c r="TNH105" s="450"/>
      <c r="TNI105" s="450"/>
      <c r="TNJ105" s="450"/>
      <c r="TNK105" s="450"/>
      <c r="TNL105" s="450"/>
      <c r="TNM105" s="450"/>
      <c r="TNN105" s="450"/>
      <c r="TNO105" s="450"/>
      <c r="TNP105" s="450"/>
      <c r="TNQ105" s="450"/>
      <c r="TNR105" s="450"/>
      <c r="TNS105" s="450"/>
      <c r="TNT105" s="450"/>
      <c r="TNU105" s="450"/>
      <c r="TNV105" s="450"/>
      <c r="TNW105" s="450"/>
      <c r="TNX105" s="450"/>
      <c r="TNY105" s="450"/>
      <c r="TNZ105" s="450"/>
      <c r="TOA105" s="450"/>
      <c r="TOB105" s="450"/>
      <c r="TOC105" s="450"/>
      <c r="TOD105" s="450"/>
      <c r="TOE105" s="450"/>
      <c r="TOF105" s="450"/>
      <c r="TOG105" s="450"/>
      <c r="TOH105" s="450"/>
      <c r="TOI105" s="450"/>
      <c r="TOJ105" s="450"/>
      <c r="TOK105" s="450"/>
      <c r="TOL105" s="450"/>
      <c r="TOM105" s="450"/>
      <c r="TON105" s="450"/>
      <c r="TOO105" s="450"/>
      <c r="TOP105" s="450"/>
      <c r="TOQ105" s="450"/>
      <c r="TOR105" s="450"/>
      <c r="TOS105" s="450"/>
      <c r="TOT105" s="450"/>
      <c r="TOU105" s="450"/>
      <c r="TOV105" s="450"/>
      <c r="TOW105" s="450"/>
      <c r="TOX105" s="450"/>
      <c r="TOY105" s="450"/>
      <c r="TOZ105" s="450"/>
      <c r="TPA105" s="450"/>
      <c r="TPB105" s="450"/>
      <c r="TPC105" s="450"/>
      <c r="TPD105" s="450"/>
      <c r="TPE105" s="450"/>
      <c r="TPF105" s="450"/>
      <c r="TPG105" s="450"/>
      <c r="TPH105" s="450"/>
      <c r="TPI105" s="450"/>
      <c r="TPJ105" s="450"/>
      <c r="TPK105" s="450"/>
      <c r="TPL105" s="450"/>
      <c r="TPM105" s="450"/>
      <c r="TPN105" s="450"/>
      <c r="TPO105" s="450"/>
      <c r="TPP105" s="450"/>
      <c r="TPQ105" s="450"/>
      <c r="TPR105" s="450"/>
      <c r="TPS105" s="450"/>
      <c r="TPT105" s="450"/>
      <c r="TPU105" s="450"/>
      <c r="TPV105" s="450"/>
      <c r="TPW105" s="450"/>
      <c r="TPX105" s="450"/>
      <c r="TPY105" s="450"/>
      <c r="TPZ105" s="450"/>
      <c r="TQA105" s="450"/>
      <c r="TQB105" s="450"/>
      <c r="TQC105" s="450"/>
      <c r="TQD105" s="450"/>
      <c r="TQE105" s="450"/>
      <c r="TQF105" s="450"/>
      <c r="TQG105" s="450"/>
      <c r="TQH105" s="450"/>
      <c r="TQI105" s="450"/>
      <c r="TQJ105" s="450"/>
      <c r="TQK105" s="450"/>
      <c r="TQL105" s="450"/>
      <c r="TQM105" s="450"/>
      <c r="TQN105" s="450"/>
      <c r="TQO105" s="450"/>
      <c r="TQP105" s="450"/>
      <c r="TQQ105" s="450"/>
      <c r="TQR105" s="450"/>
      <c r="TQS105" s="450"/>
      <c r="TQT105" s="450"/>
      <c r="TQU105" s="450"/>
      <c r="TQV105" s="450"/>
      <c r="TQW105" s="450"/>
      <c r="TQX105" s="450"/>
      <c r="TQY105" s="450"/>
      <c r="TQZ105" s="450"/>
      <c r="TRA105" s="450"/>
      <c r="TRB105" s="450"/>
      <c r="TRC105" s="450"/>
      <c r="TRD105" s="450"/>
      <c r="TRE105" s="450"/>
      <c r="TRF105" s="450"/>
      <c r="TRG105" s="450"/>
      <c r="TRH105" s="450"/>
      <c r="TRI105" s="450"/>
      <c r="TRJ105" s="450"/>
      <c r="TRK105" s="450"/>
      <c r="TRL105" s="450"/>
      <c r="TRM105" s="450"/>
      <c r="TRN105" s="450"/>
      <c r="TRO105" s="450"/>
      <c r="TRP105" s="450"/>
      <c r="TRQ105" s="450"/>
      <c r="TRR105" s="450"/>
      <c r="TRS105" s="450"/>
      <c r="TRT105" s="450"/>
      <c r="TRU105" s="450"/>
      <c r="TRV105" s="450"/>
      <c r="TRW105" s="450"/>
      <c r="TRX105" s="450"/>
      <c r="TRY105" s="450"/>
      <c r="TRZ105" s="450"/>
      <c r="TSA105" s="450"/>
      <c r="TSB105" s="450"/>
      <c r="TSC105" s="450"/>
      <c r="TSD105" s="450"/>
      <c r="TSE105" s="450"/>
      <c r="TSF105" s="450"/>
      <c r="TSG105" s="450"/>
      <c r="TSH105" s="450"/>
      <c r="TSI105" s="450"/>
      <c r="TSJ105" s="450"/>
      <c r="TSK105" s="450"/>
      <c r="TSL105" s="450"/>
      <c r="TSM105" s="450"/>
      <c r="TSN105" s="450"/>
      <c r="TSO105" s="450"/>
      <c r="TSP105" s="450"/>
      <c r="TSQ105" s="450"/>
      <c r="TSR105" s="450"/>
      <c r="TSS105" s="450"/>
      <c r="TST105" s="450"/>
      <c r="TSU105" s="450"/>
      <c r="TSV105" s="450"/>
      <c r="TSW105" s="450"/>
      <c r="TSX105" s="450"/>
      <c r="TSY105" s="450"/>
      <c r="TSZ105" s="450"/>
      <c r="TTA105" s="450"/>
      <c r="TTB105" s="450"/>
      <c r="TTC105" s="450"/>
      <c r="TTD105" s="450"/>
      <c r="TTE105" s="450"/>
      <c r="TTF105" s="450"/>
      <c r="TTG105" s="450"/>
      <c r="TTH105" s="450"/>
      <c r="TTI105" s="450"/>
      <c r="TTJ105" s="450"/>
      <c r="TTK105" s="450"/>
      <c r="TTL105" s="450"/>
      <c r="TTM105" s="450"/>
      <c r="TTN105" s="450"/>
      <c r="TTO105" s="450"/>
      <c r="TTP105" s="450"/>
      <c r="TTQ105" s="450"/>
      <c r="TTR105" s="450"/>
      <c r="TTS105" s="450"/>
      <c r="TTT105" s="450"/>
      <c r="TTU105" s="450"/>
      <c r="TTV105" s="450"/>
      <c r="TTW105" s="450"/>
      <c r="TTX105" s="450"/>
      <c r="TTY105" s="450"/>
      <c r="TTZ105" s="450"/>
      <c r="TUA105" s="450"/>
      <c r="TUB105" s="450"/>
      <c r="TUC105" s="450"/>
      <c r="TUD105" s="450"/>
      <c r="TUE105" s="450"/>
      <c r="TUF105" s="450"/>
      <c r="TUG105" s="450"/>
      <c r="TUH105" s="450"/>
      <c r="TUI105" s="450"/>
      <c r="TUJ105" s="450"/>
      <c r="TUK105" s="450"/>
      <c r="TUL105" s="450"/>
      <c r="TUM105" s="450"/>
      <c r="TUN105" s="450"/>
      <c r="TUO105" s="450"/>
      <c r="TUP105" s="450"/>
      <c r="TUQ105" s="450"/>
      <c r="TUR105" s="450"/>
      <c r="TUS105" s="450"/>
      <c r="TUT105" s="450"/>
      <c r="TUU105" s="450"/>
      <c r="TUV105" s="450"/>
      <c r="TUW105" s="450"/>
      <c r="TUX105" s="450"/>
      <c r="TUY105" s="450"/>
      <c r="TUZ105" s="450"/>
      <c r="TVA105" s="450"/>
      <c r="TVB105" s="450"/>
      <c r="TVC105" s="450"/>
      <c r="TVD105" s="450"/>
      <c r="TVE105" s="450"/>
      <c r="TVF105" s="450"/>
      <c r="TVG105" s="450"/>
      <c r="TVH105" s="450"/>
      <c r="TVI105" s="450"/>
      <c r="TVJ105" s="450"/>
      <c r="TVK105" s="450"/>
      <c r="TVL105" s="450"/>
      <c r="TVM105" s="450"/>
      <c r="TVN105" s="450"/>
      <c r="TVO105" s="450"/>
      <c r="TVP105" s="450"/>
      <c r="TVQ105" s="450"/>
      <c r="TVR105" s="450"/>
      <c r="TVS105" s="450"/>
      <c r="TVT105" s="450"/>
      <c r="TVU105" s="450"/>
      <c r="TVV105" s="450"/>
      <c r="TVW105" s="450"/>
      <c r="TVX105" s="450"/>
      <c r="TVY105" s="450"/>
      <c r="TVZ105" s="450"/>
      <c r="TWA105" s="450"/>
      <c r="TWB105" s="450"/>
      <c r="TWC105" s="450"/>
      <c r="TWD105" s="450"/>
      <c r="TWE105" s="450"/>
      <c r="TWF105" s="450"/>
      <c r="TWG105" s="450"/>
      <c r="TWH105" s="450"/>
      <c r="TWI105" s="450"/>
      <c r="TWJ105" s="450"/>
      <c r="TWK105" s="450"/>
      <c r="TWL105" s="450"/>
      <c r="TWM105" s="450"/>
      <c r="TWN105" s="450"/>
      <c r="TWO105" s="450"/>
      <c r="TWP105" s="450"/>
      <c r="TWQ105" s="450"/>
      <c r="TWR105" s="450"/>
      <c r="TWS105" s="450"/>
      <c r="TWT105" s="450"/>
      <c r="TWU105" s="450"/>
      <c r="TWV105" s="450"/>
      <c r="TWW105" s="450"/>
      <c r="TWX105" s="450"/>
      <c r="TWY105" s="450"/>
      <c r="TWZ105" s="450"/>
      <c r="TXA105" s="450"/>
      <c r="TXB105" s="450"/>
      <c r="TXC105" s="450"/>
      <c r="TXD105" s="450"/>
      <c r="TXE105" s="450"/>
      <c r="TXF105" s="450"/>
      <c r="TXG105" s="450"/>
      <c r="TXH105" s="450"/>
      <c r="TXI105" s="450"/>
      <c r="TXJ105" s="450"/>
      <c r="TXK105" s="450"/>
      <c r="TXL105" s="450"/>
      <c r="TXM105" s="450"/>
      <c r="TXN105" s="450"/>
      <c r="TXO105" s="450"/>
      <c r="TXP105" s="450"/>
      <c r="TXQ105" s="450"/>
      <c r="TXR105" s="450"/>
      <c r="TXS105" s="450"/>
      <c r="TXT105" s="450"/>
      <c r="TXU105" s="450"/>
      <c r="TXV105" s="450"/>
      <c r="TXW105" s="450"/>
      <c r="TXX105" s="450"/>
      <c r="TXY105" s="450"/>
      <c r="TXZ105" s="450"/>
      <c r="TYA105" s="450"/>
      <c r="TYB105" s="450"/>
      <c r="TYC105" s="450"/>
      <c r="TYD105" s="450"/>
      <c r="TYE105" s="450"/>
      <c r="TYF105" s="450"/>
      <c r="TYG105" s="450"/>
      <c r="TYH105" s="450"/>
      <c r="TYI105" s="450"/>
      <c r="TYJ105" s="450"/>
      <c r="TYK105" s="450"/>
      <c r="TYL105" s="450"/>
      <c r="TYM105" s="450"/>
      <c r="TYN105" s="450"/>
      <c r="TYO105" s="450"/>
      <c r="TYP105" s="450"/>
      <c r="TYQ105" s="450"/>
      <c r="TYR105" s="450"/>
      <c r="TYS105" s="450"/>
      <c r="TYT105" s="450"/>
      <c r="TYU105" s="450"/>
      <c r="TYV105" s="450"/>
      <c r="TYW105" s="450"/>
      <c r="TYX105" s="450"/>
      <c r="TYY105" s="450"/>
      <c r="TYZ105" s="450"/>
      <c r="TZA105" s="450"/>
      <c r="TZB105" s="450"/>
      <c r="TZC105" s="450"/>
      <c r="TZD105" s="450"/>
      <c r="TZE105" s="450"/>
      <c r="TZF105" s="450"/>
      <c r="TZG105" s="450"/>
      <c r="TZH105" s="450"/>
      <c r="TZI105" s="450"/>
      <c r="TZJ105" s="450"/>
      <c r="TZK105" s="450"/>
      <c r="TZL105" s="450"/>
      <c r="TZM105" s="450"/>
      <c r="TZN105" s="450"/>
      <c r="TZO105" s="450"/>
      <c r="TZP105" s="450"/>
      <c r="TZQ105" s="450"/>
      <c r="TZR105" s="450"/>
      <c r="TZS105" s="450"/>
      <c r="TZT105" s="450"/>
      <c r="TZU105" s="450"/>
      <c r="TZV105" s="450"/>
      <c r="TZW105" s="450"/>
      <c r="TZX105" s="450"/>
      <c r="TZY105" s="450"/>
      <c r="TZZ105" s="450"/>
      <c r="UAA105" s="450"/>
      <c r="UAB105" s="450"/>
      <c r="UAC105" s="450"/>
      <c r="UAD105" s="450"/>
      <c r="UAE105" s="450"/>
      <c r="UAF105" s="450"/>
      <c r="UAG105" s="450"/>
      <c r="UAH105" s="450"/>
      <c r="UAI105" s="450"/>
      <c r="UAJ105" s="450"/>
      <c r="UAK105" s="450"/>
      <c r="UAL105" s="450"/>
      <c r="UAM105" s="450"/>
      <c r="UAN105" s="450"/>
      <c r="UAO105" s="450"/>
      <c r="UAP105" s="450"/>
      <c r="UAQ105" s="450"/>
      <c r="UAR105" s="450"/>
      <c r="UAS105" s="450"/>
      <c r="UAT105" s="450"/>
      <c r="UAU105" s="450"/>
      <c r="UAV105" s="450"/>
      <c r="UAW105" s="450"/>
      <c r="UAX105" s="450"/>
      <c r="UAY105" s="450"/>
      <c r="UAZ105" s="450"/>
      <c r="UBA105" s="450"/>
      <c r="UBB105" s="450"/>
      <c r="UBC105" s="450"/>
      <c r="UBD105" s="450"/>
      <c r="UBE105" s="450"/>
      <c r="UBF105" s="450"/>
      <c r="UBG105" s="450"/>
      <c r="UBH105" s="450"/>
      <c r="UBI105" s="450"/>
      <c r="UBJ105" s="450"/>
      <c r="UBK105" s="450"/>
      <c r="UBL105" s="450"/>
      <c r="UBM105" s="450"/>
      <c r="UBN105" s="450"/>
      <c r="UBO105" s="450"/>
      <c r="UBP105" s="450"/>
      <c r="UBQ105" s="450"/>
      <c r="UBR105" s="450"/>
      <c r="UBS105" s="450"/>
      <c r="UBT105" s="450"/>
      <c r="UBU105" s="450"/>
      <c r="UBV105" s="450"/>
      <c r="UBW105" s="450"/>
      <c r="UBX105" s="450"/>
      <c r="UBY105" s="450"/>
      <c r="UBZ105" s="450"/>
      <c r="UCA105" s="450"/>
      <c r="UCB105" s="450"/>
      <c r="UCC105" s="450"/>
      <c r="UCD105" s="450"/>
      <c r="UCE105" s="450"/>
      <c r="UCF105" s="450"/>
      <c r="UCG105" s="450"/>
      <c r="UCH105" s="450"/>
      <c r="UCI105" s="450"/>
      <c r="UCJ105" s="450"/>
      <c r="UCK105" s="450"/>
      <c r="UCL105" s="450"/>
      <c r="UCM105" s="450"/>
      <c r="UCN105" s="450"/>
      <c r="UCO105" s="450"/>
      <c r="UCP105" s="450"/>
      <c r="UCQ105" s="450"/>
      <c r="UCR105" s="450"/>
      <c r="UCS105" s="450"/>
      <c r="UCT105" s="450"/>
      <c r="UCU105" s="450"/>
      <c r="UCV105" s="450"/>
      <c r="UCW105" s="450"/>
      <c r="UCX105" s="450"/>
      <c r="UCY105" s="450"/>
      <c r="UCZ105" s="450"/>
      <c r="UDA105" s="450"/>
      <c r="UDB105" s="450"/>
      <c r="UDC105" s="450"/>
      <c r="UDD105" s="450"/>
      <c r="UDE105" s="450"/>
      <c r="UDF105" s="450"/>
      <c r="UDG105" s="450"/>
      <c r="UDH105" s="450"/>
      <c r="UDI105" s="450"/>
      <c r="UDJ105" s="450"/>
      <c r="UDK105" s="450"/>
      <c r="UDL105" s="450"/>
      <c r="UDM105" s="450"/>
      <c r="UDN105" s="450"/>
      <c r="UDO105" s="450"/>
      <c r="UDP105" s="450"/>
      <c r="UDQ105" s="450"/>
      <c r="UDR105" s="450"/>
      <c r="UDS105" s="450"/>
      <c r="UDT105" s="450"/>
      <c r="UDU105" s="450"/>
      <c r="UDV105" s="450"/>
      <c r="UDW105" s="450"/>
      <c r="UDX105" s="450"/>
      <c r="UDY105" s="450"/>
      <c r="UDZ105" s="450"/>
      <c r="UEA105" s="450"/>
      <c r="UEB105" s="450"/>
      <c r="UEC105" s="450"/>
      <c r="UED105" s="450"/>
      <c r="UEE105" s="450"/>
      <c r="UEF105" s="450"/>
      <c r="UEG105" s="450"/>
      <c r="UEH105" s="450"/>
      <c r="UEI105" s="450"/>
      <c r="UEJ105" s="450"/>
      <c r="UEK105" s="450"/>
      <c r="UEL105" s="450"/>
      <c r="UEM105" s="450"/>
      <c r="UEN105" s="450"/>
      <c r="UEO105" s="450"/>
      <c r="UEP105" s="450"/>
      <c r="UEQ105" s="450"/>
      <c r="UER105" s="450"/>
      <c r="UES105" s="450"/>
      <c r="UET105" s="450"/>
      <c r="UEU105" s="450"/>
      <c r="UEV105" s="450"/>
      <c r="UEW105" s="450"/>
      <c r="UEX105" s="450"/>
      <c r="UEY105" s="450"/>
      <c r="UEZ105" s="450"/>
      <c r="UFA105" s="450"/>
      <c r="UFB105" s="450"/>
      <c r="UFC105" s="450"/>
      <c r="UFD105" s="450"/>
      <c r="UFE105" s="450"/>
      <c r="UFF105" s="450"/>
      <c r="UFG105" s="450"/>
      <c r="UFH105" s="450"/>
      <c r="UFI105" s="450"/>
      <c r="UFJ105" s="450"/>
      <c r="UFK105" s="450"/>
      <c r="UFL105" s="450"/>
      <c r="UFM105" s="450"/>
      <c r="UFN105" s="450"/>
      <c r="UFO105" s="450"/>
      <c r="UFP105" s="450"/>
      <c r="UFQ105" s="450"/>
      <c r="UFR105" s="450"/>
      <c r="UFS105" s="450"/>
      <c r="UFT105" s="450"/>
      <c r="UFU105" s="450"/>
      <c r="UFV105" s="450"/>
      <c r="UFW105" s="450"/>
      <c r="UFX105" s="450"/>
      <c r="UFY105" s="450"/>
      <c r="UFZ105" s="450"/>
      <c r="UGA105" s="450"/>
      <c r="UGB105" s="450"/>
      <c r="UGC105" s="450"/>
      <c r="UGD105" s="450"/>
      <c r="UGE105" s="450"/>
      <c r="UGF105" s="450"/>
      <c r="UGG105" s="450"/>
      <c r="UGH105" s="450"/>
      <c r="UGI105" s="450"/>
      <c r="UGJ105" s="450"/>
      <c r="UGK105" s="450"/>
      <c r="UGL105" s="450"/>
      <c r="UGM105" s="450"/>
      <c r="UGN105" s="450"/>
      <c r="UGO105" s="450"/>
      <c r="UGP105" s="450"/>
      <c r="UGQ105" s="450"/>
      <c r="UGR105" s="450"/>
      <c r="UGS105" s="450"/>
      <c r="UGT105" s="450"/>
      <c r="UGU105" s="450"/>
      <c r="UGV105" s="450"/>
      <c r="UGW105" s="450"/>
      <c r="UGX105" s="450"/>
      <c r="UGY105" s="450"/>
      <c r="UGZ105" s="450"/>
      <c r="UHA105" s="450"/>
      <c r="UHB105" s="450"/>
      <c r="UHC105" s="450"/>
      <c r="UHD105" s="450"/>
      <c r="UHE105" s="450"/>
      <c r="UHF105" s="450"/>
      <c r="UHG105" s="450"/>
      <c r="UHH105" s="450"/>
      <c r="UHI105" s="450"/>
      <c r="UHJ105" s="450"/>
      <c r="UHK105" s="450"/>
      <c r="UHL105" s="450"/>
      <c r="UHM105" s="450"/>
      <c r="UHN105" s="450"/>
      <c r="UHO105" s="450"/>
      <c r="UHP105" s="450"/>
      <c r="UHQ105" s="450"/>
      <c r="UHR105" s="450"/>
      <c r="UHS105" s="450"/>
      <c r="UHT105" s="450"/>
      <c r="UHU105" s="450"/>
      <c r="UHV105" s="450"/>
      <c r="UHW105" s="450"/>
      <c r="UHX105" s="450"/>
      <c r="UHY105" s="450"/>
      <c r="UHZ105" s="450"/>
      <c r="UIA105" s="450"/>
      <c r="UIB105" s="450"/>
      <c r="UIC105" s="450"/>
      <c r="UID105" s="450"/>
      <c r="UIE105" s="450"/>
      <c r="UIF105" s="450"/>
      <c r="UIG105" s="450"/>
      <c r="UIH105" s="450"/>
      <c r="UII105" s="450"/>
      <c r="UIJ105" s="450"/>
      <c r="UIK105" s="450"/>
      <c r="UIL105" s="450"/>
      <c r="UIM105" s="450"/>
      <c r="UIN105" s="450"/>
      <c r="UIO105" s="450"/>
      <c r="UIP105" s="450"/>
      <c r="UIQ105" s="450"/>
      <c r="UIR105" s="450"/>
      <c r="UIS105" s="450"/>
      <c r="UIT105" s="450"/>
      <c r="UIU105" s="450"/>
      <c r="UIV105" s="450"/>
      <c r="UIW105" s="450"/>
      <c r="UIX105" s="450"/>
      <c r="UIY105" s="450"/>
      <c r="UIZ105" s="450"/>
      <c r="UJA105" s="450"/>
      <c r="UJB105" s="450"/>
      <c r="UJC105" s="450"/>
      <c r="UJD105" s="450"/>
      <c r="UJE105" s="450"/>
      <c r="UJF105" s="450"/>
      <c r="UJG105" s="450"/>
      <c r="UJH105" s="450"/>
      <c r="UJI105" s="450"/>
      <c r="UJJ105" s="450"/>
      <c r="UJK105" s="450"/>
      <c r="UJL105" s="450"/>
      <c r="UJM105" s="450"/>
      <c r="UJN105" s="450"/>
      <c r="UJO105" s="450"/>
      <c r="UJP105" s="450"/>
      <c r="UJQ105" s="450"/>
      <c r="UJR105" s="450"/>
      <c r="UJS105" s="450"/>
      <c r="UJT105" s="450"/>
      <c r="UJU105" s="450"/>
      <c r="UJV105" s="450"/>
      <c r="UJW105" s="450"/>
      <c r="UJX105" s="450"/>
      <c r="UJY105" s="450"/>
      <c r="UJZ105" s="450"/>
      <c r="UKA105" s="450"/>
      <c r="UKB105" s="450"/>
      <c r="UKC105" s="450"/>
      <c r="UKD105" s="450"/>
      <c r="UKE105" s="450"/>
      <c r="UKF105" s="450"/>
      <c r="UKG105" s="450"/>
      <c r="UKH105" s="450"/>
      <c r="UKI105" s="450"/>
      <c r="UKJ105" s="450"/>
      <c r="UKK105" s="450"/>
      <c r="UKL105" s="450"/>
      <c r="UKM105" s="450"/>
      <c r="UKN105" s="450"/>
      <c r="UKO105" s="450"/>
      <c r="UKP105" s="450"/>
      <c r="UKQ105" s="450"/>
      <c r="UKR105" s="450"/>
      <c r="UKS105" s="450"/>
      <c r="UKT105" s="450"/>
      <c r="UKU105" s="450"/>
      <c r="UKV105" s="450"/>
      <c r="UKW105" s="450"/>
      <c r="UKX105" s="450"/>
      <c r="UKY105" s="450"/>
      <c r="UKZ105" s="450"/>
      <c r="ULA105" s="450"/>
      <c r="ULB105" s="450"/>
      <c r="ULC105" s="450"/>
      <c r="ULD105" s="450"/>
      <c r="ULE105" s="450"/>
      <c r="ULF105" s="450"/>
      <c r="ULG105" s="450"/>
      <c r="ULH105" s="450"/>
      <c r="ULI105" s="450"/>
      <c r="ULJ105" s="450"/>
      <c r="ULK105" s="450"/>
      <c r="ULL105" s="450"/>
      <c r="ULM105" s="450"/>
      <c r="ULN105" s="450"/>
      <c r="ULO105" s="450"/>
      <c r="ULP105" s="450"/>
      <c r="ULQ105" s="450"/>
      <c r="ULR105" s="450"/>
      <c r="ULS105" s="450"/>
      <c r="ULT105" s="450"/>
      <c r="ULU105" s="450"/>
      <c r="ULV105" s="450"/>
      <c r="ULW105" s="450"/>
      <c r="ULX105" s="450"/>
      <c r="ULY105" s="450"/>
      <c r="ULZ105" s="450"/>
      <c r="UMA105" s="450"/>
      <c r="UMB105" s="450"/>
      <c r="UMC105" s="450"/>
      <c r="UMD105" s="450"/>
      <c r="UME105" s="450"/>
      <c r="UMF105" s="450"/>
      <c r="UMG105" s="450"/>
      <c r="UMH105" s="450"/>
      <c r="UMI105" s="450"/>
      <c r="UMJ105" s="450"/>
      <c r="UMK105" s="450"/>
      <c r="UML105" s="450"/>
      <c r="UMM105" s="450"/>
      <c r="UMN105" s="450"/>
      <c r="UMO105" s="450"/>
      <c r="UMP105" s="450"/>
      <c r="UMQ105" s="450"/>
      <c r="UMR105" s="450"/>
      <c r="UMS105" s="450"/>
      <c r="UMT105" s="450"/>
      <c r="UMU105" s="450"/>
      <c r="UMV105" s="450"/>
      <c r="UMW105" s="450"/>
      <c r="UMX105" s="450"/>
      <c r="UMY105" s="450"/>
      <c r="UMZ105" s="450"/>
      <c r="UNA105" s="450"/>
      <c r="UNB105" s="450"/>
      <c r="UNC105" s="450"/>
      <c r="UND105" s="450"/>
      <c r="UNE105" s="450"/>
      <c r="UNF105" s="450"/>
      <c r="UNG105" s="450"/>
      <c r="UNH105" s="450"/>
      <c r="UNI105" s="450"/>
      <c r="UNJ105" s="450"/>
      <c r="UNK105" s="450"/>
      <c r="UNL105" s="450"/>
      <c r="UNM105" s="450"/>
      <c r="UNN105" s="450"/>
      <c r="UNO105" s="450"/>
      <c r="UNP105" s="450"/>
      <c r="UNQ105" s="450"/>
      <c r="UNR105" s="450"/>
      <c r="UNS105" s="450"/>
      <c r="UNT105" s="450"/>
      <c r="UNU105" s="450"/>
      <c r="UNV105" s="450"/>
      <c r="UNW105" s="450"/>
      <c r="UNX105" s="450"/>
      <c r="UNY105" s="450"/>
      <c r="UNZ105" s="450"/>
      <c r="UOA105" s="450"/>
      <c r="UOB105" s="450"/>
      <c r="UOC105" s="450"/>
      <c r="UOD105" s="450"/>
      <c r="UOE105" s="450"/>
      <c r="UOF105" s="450"/>
      <c r="UOG105" s="450"/>
      <c r="UOH105" s="450"/>
      <c r="UOI105" s="450"/>
      <c r="UOJ105" s="450"/>
      <c r="UOK105" s="450"/>
      <c r="UOL105" s="450"/>
      <c r="UOM105" s="450"/>
      <c r="UON105" s="450"/>
      <c r="UOO105" s="450"/>
      <c r="UOP105" s="450"/>
      <c r="UOQ105" s="450"/>
      <c r="UOR105" s="450"/>
      <c r="UOS105" s="450"/>
      <c r="UOT105" s="450"/>
      <c r="UOU105" s="450"/>
      <c r="UOV105" s="450"/>
      <c r="UOW105" s="450"/>
      <c r="UOX105" s="450"/>
      <c r="UOY105" s="450"/>
      <c r="UOZ105" s="450"/>
      <c r="UPA105" s="450"/>
      <c r="UPB105" s="450"/>
      <c r="UPC105" s="450"/>
      <c r="UPD105" s="450"/>
      <c r="UPE105" s="450"/>
      <c r="UPF105" s="450"/>
      <c r="UPG105" s="450"/>
      <c r="UPH105" s="450"/>
      <c r="UPI105" s="450"/>
      <c r="UPJ105" s="450"/>
      <c r="UPK105" s="450"/>
      <c r="UPL105" s="450"/>
      <c r="UPM105" s="450"/>
      <c r="UPN105" s="450"/>
      <c r="UPO105" s="450"/>
      <c r="UPP105" s="450"/>
      <c r="UPQ105" s="450"/>
      <c r="UPR105" s="450"/>
      <c r="UPS105" s="450"/>
      <c r="UPT105" s="450"/>
      <c r="UPU105" s="450"/>
      <c r="UPV105" s="450"/>
      <c r="UPW105" s="450"/>
      <c r="UPX105" s="450"/>
      <c r="UPY105" s="450"/>
      <c r="UPZ105" s="450"/>
      <c r="UQA105" s="450"/>
      <c r="UQB105" s="450"/>
      <c r="UQC105" s="450"/>
      <c r="UQD105" s="450"/>
      <c r="UQE105" s="450"/>
      <c r="UQF105" s="450"/>
      <c r="UQG105" s="450"/>
      <c r="UQH105" s="450"/>
      <c r="UQI105" s="450"/>
      <c r="UQJ105" s="450"/>
      <c r="UQK105" s="450"/>
      <c r="UQL105" s="450"/>
      <c r="UQM105" s="450"/>
      <c r="UQN105" s="450"/>
      <c r="UQO105" s="450"/>
      <c r="UQP105" s="450"/>
      <c r="UQQ105" s="450"/>
      <c r="UQR105" s="450"/>
      <c r="UQS105" s="450"/>
      <c r="UQT105" s="450"/>
      <c r="UQU105" s="450"/>
      <c r="UQV105" s="450"/>
      <c r="UQW105" s="450"/>
      <c r="UQX105" s="450"/>
      <c r="UQY105" s="450"/>
      <c r="UQZ105" s="450"/>
      <c r="URA105" s="450"/>
      <c r="URB105" s="450"/>
      <c r="URC105" s="450"/>
      <c r="URD105" s="450"/>
      <c r="URE105" s="450"/>
      <c r="URF105" s="450"/>
      <c r="URG105" s="450"/>
      <c r="URH105" s="450"/>
      <c r="URI105" s="450"/>
      <c r="URJ105" s="450"/>
      <c r="URK105" s="450"/>
      <c r="URL105" s="450"/>
      <c r="URM105" s="450"/>
      <c r="URN105" s="450"/>
      <c r="URO105" s="450"/>
      <c r="URP105" s="450"/>
      <c r="URQ105" s="450"/>
      <c r="URR105" s="450"/>
      <c r="URS105" s="450"/>
      <c r="URT105" s="450"/>
      <c r="URU105" s="450"/>
      <c r="URV105" s="450"/>
      <c r="URW105" s="450"/>
      <c r="URX105" s="450"/>
      <c r="URY105" s="450"/>
      <c r="URZ105" s="450"/>
      <c r="USA105" s="450"/>
      <c r="USB105" s="450"/>
      <c r="USC105" s="450"/>
      <c r="USD105" s="450"/>
      <c r="USE105" s="450"/>
      <c r="USF105" s="450"/>
      <c r="USG105" s="450"/>
      <c r="USH105" s="450"/>
      <c r="USI105" s="450"/>
      <c r="USJ105" s="450"/>
      <c r="USK105" s="450"/>
      <c r="USL105" s="450"/>
      <c r="USM105" s="450"/>
      <c r="USN105" s="450"/>
      <c r="USO105" s="450"/>
      <c r="USP105" s="450"/>
      <c r="USQ105" s="450"/>
      <c r="USR105" s="450"/>
      <c r="USS105" s="450"/>
      <c r="UST105" s="450"/>
      <c r="USU105" s="450"/>
      <c r="USV105" s="450"/>
      <c r="USW105" s="450"/>
      <c r="USX105" s="450"/>
      <c r="USY105" s="450"/>
      <c r="USZ105" s="450"/>
      <c r="UTA105" s="450"/>
      <c r="UTB105" s="450"/>
      <c r="UTC105" s="450"/>
      <c r="UTD105" s="450"/>
      <c r="UTE105" s="450"/>
      <c r="UTF105" s="450"/>
      <c r="UTG105" s="450"/>
      <c r="UTH105" s="450"/>
      <c r="UTI105" s="450"/>
      <c r="UTJ105" s="450"/>
      <c r="UTK105" s="450"/>
      <c r="UTL105" s="450"/>
      <c r="UTM105" s="450"/>
      <c r="UTN105" s="450"/>
      <c r="UTO105" s="450"/>
      <c r="UTP105" s="450"/>
      <c r="UTQ105" s="450"/>
      <c r="UTR105" s="450"/>
      <c r="UTS105" s="450"/>
      <c r="UTT105" s="450"/>
      <c r="UTU105" s="450"/>
      <c r="UTV105" s="450"/>
      <c r="UTW105" s="450"/>
      <c r="UTX105" s="450"/>
      <c r="UTY105" s="450"/>
      <c r="UTZ105" s="450"/>
      <c r="UUA105" s="450"/>
      <c r="UUB105" s="450"/>
      <c r="UUC105" s="450"/>
      <c r="UUD105" s="450"/>
      <c r="UUE105" s="450"/>
      <c r="UUF105" s="450"/>
      <c r="UUG105" s="450"/>
      <c r="UUH105" s="450"/>
      <c r="UUI105" s="450"/>
      <c r="UUJ105" s="450"/>
      <c r="UUK105" s="450"/>
      <c r="UUL105" s="450"/>
      <c r="UUM105" s="450"/>
      <c r="UUN105" s="450"/>
      <c r="UUO105" s="450"/>
      <c r="UUP105" s="450"/>
      <c r="UUQ105" s="450"/>
      <c r="UUR105" s="450"/>
      <c r="UUS105" s="450"/>
      <c r="UUT105" s="450"/>
      <c r="UUU105" s="450"/>
      <c r="UUV105" s="450"/>
      <c r="UUW105" s="450"/>
      <c r="UUX105" s="450"/>
      <c r="UUY105" s="450"/>
      <c r="UUZ105" s="450"/>
      <c r="UVA105" s="450"/>
      <c r="UVB105" s="450"/>
      <c r="UVC105" s="450"/>
      <c r="UVD105" s="450"/>
      <c r="UVE105" s="450"/>
      <c r="UVF105" s="450"/>
      <c r="UVG105" s="450"/>
      <c r="UVH105" s="450"/>
      <c r="UVI105" s="450"/>
      <c r="UVJ105" s="450"/>
      <c r="UVK105" s="450"/>
      <c r="UVL105" s="450"/>
      <c r="UVM105" s="450"/>
      <c r="UVN105" s="450"/>
      <c r="UVO105" s="450"/>
      <c r="UVP105" s="450"/>
      <c r="UVQ105" s="450"/>
      <c r="UVR105" s="450"/>
      <c r="UVS105" s="450"/>
      <c r="UVT105" s="450"/>
      <c r="UVU105" s="450"/>
      <c r="UVV105" s="450"/>
      <c r="UVW105" s="450"/>
      <c r="UVX105" s="450"/>
      <c r="UVY105" s="450"/>
      <c r="UVZ105" s="450"/>
      <c r="UWA105" s="450"/>
      <c r="UWB105" s="450"/>
      <c r="UWC105" s="450"/>
      <c r="UWD105" s="450"/>
      <c r="UWE105" s="450"/>
      <c r="UWF105" s="450"/>
      <c r="UWG105" s="450"/>
      <c r="UWH105" s="450"/>
      <c r="UWI105" s="450"/>
      <c r="UWJ105" s="450"/>
      <c r="UWK105" s="450"/>
      <c r="UWL105" s="450"/>
      <c r="UWM105" s="450"/>
      <c r="UWN105" s="450"/>
      <c r="UWO105" s="450"/>
      <c r="UWP105" s="450"/>
      <c r="UWQ105" s="450"/>
      <c r="UWR105" s="450"/>
      <c r="UWS105" s="450"/>
      <c r="UWT105" s="450"/>
      <c r="UWU105" s="450"/>
      <c r="UWV105" s="450"/>
      <c r="UWW105" s="450"/>
      <c r="UWX105" s="450"/>
      <c r="UWY105" s="450"/>
      <c r="UWZ105" s="450"/>
      <c r="UXA105" s="450"/>
      <c r="UXB105" s="450"/>
      <c r="UXC105" s="450"/>
      <c r="UXD105" s="450"/>
      <c r="UXE105" s="450"/>
      <c r="UXF105" s="450"/>
      <c r="UXG105" s="450"/>
      <c r="UXH105" s="450"/>
      <c r="UXI105" s="450"/>
      <c r="UXJ105" s="450"/>
      <c r="UXK105" s="450"/>
      <c r="UXL105" s="450"/>
      <c r="UXM105" s="450"/>
      <c r="UXN105" s="450"/>
      <c r="UXO105" s="450"/>
      <c r="UXP105" s="450"/>
      <c r="UXQ105" s="450"/>
      <c r="UXR105" s="450"/>
      <c r="UXS105" s="450"/>
      <c r="UXT105" s="450"/>
      <c r="UXU105" s="450"/>
      <c r="UXV105" s="450"/>
      <c r="UXW105" s="450"/>
      <c r="UXX105" s="450"/>
      <c r="UXY105" s="450"/>
      <c r="UXZ105" s="450"/>
      <c r="UYA105" s="450"/>
      <c r="UYB105" s="450"/>
      <c r="UYC105" s="450"/>
      <c r="UYD105" s="450"/>
      <c r="UYE105" s="450"/>
      <c r="UYF105" s="450"/>
      <c r="UYG105" s="450"/>
      <c r="UYH105" s="450"/>
      <c r="UYI105" s="450"/>
      <c r="UYJ105" s="450"/>
      <c r="UYK105" s="450"/>
      <c r="UYL105" s="450"/>
      <c r="UYM105" s="450"/>
      <c r="UYN105" s="450"/>
      <c r="UYO105" s="450"/>
      <c r="UYP105" s="450"/>
      <c r="UYQ105" s="450"/>
      <c r="UYR105" s="450"/>
      <c r="UYS105" s="450"/>
      <c r="UYT105" s="450"/>
      <c r="UYU105" s="450"/>
      <c r="UYV105" s="450"/>
      <c r="UYW105" s="450"/>
      <c r="UYX105" s="450"/>
      <c r="UYY105" s="450"/>
      <c r="UYZ105" s="450"/>
      <c r="UZA105" s="450"/>
      <c r="UZB105" s="450"/>
      <c r="UZC105" s="450"/>
      <c r="UZD105" s="450"/>
      <c r="UZE105" s="450"/>
      <c r="UZF105" s="450"/>
      <c r="UZG105" s="450"/>
      <c r="UZH105" s="450"/>
      <c r="UZI105" s="450"/>
      <c r="UZJ105" s="450"/>
      <c r="UZK105" s="450"/>
      <c r="UZL105" s="450"/>
      <c r="UZM105" s="450"/>
      <c r="UZN105" s="450"/>
      <c r="UZO105" s="450"/>
      <c r="UZP105" s="450"/>
      <c r="UZQ105" s="450"/>
      <c r="UZR105" s="450"/>
      <c r="UZS105" s="450"/>
      <c r="UZT105" s="450"/>
      <c r="UZU105" s="450"/>
      <c r="UZV105" s="450"/>
      <c r="UZW105" s="450"/>
      <c r="UZX105" s="450"/>
      <c r="UZY105" s="450"/>
      <c r="UZZ105" s="450"/>
      <c r="VAA105" s="450"/>
      <c r="VAB105" s="450"/>
      <c r="VAC105" s="450"/>
      <c r="VAD105" s="450"/>
      <c r="VAE105" s="450"/>
      <c r="VAF105" s="450"/>
      <c r="VAG105" s="450"/>
      <c r="VAH105" s="450"/>
      <c r="VAI105" s="450"/>
      <c r="VAJ105" s="450"/>
      <c r="VAK105" s="450"/>
      <c r="VAL105" s="450"/>
      <c r="VAM105" s="450"/>
      <c r="VAN105" s="450"/>
      <c r="VAO105" s="450"/>
      <c r="VAP105" s="450"/>
      <c r="VAQ105" s="450"/>
      <c r="VAR105" s="450"/>
      <c r="VAS105" s="450"/>
      <c r="VAT105" s="450"/>
      <c r="VAU105" s="450"/>
      <c r="VAV105" s="450"/>
      <c r="VAW105" s="450"/>
      <c r="VAX105" s="450"/>
      <c r="VAY105" s="450"/>
      <c r="VAZ105" s="450"/>
      <c r="VBA105" s="450"/>
      <c r="VBB105" s="450"/>
      <c r="VBC105" s="450"/>
      <c r="VBD105" s="450"/>
      <c r="VBE105" s="450"/>
      <c r="VBF105" s="450"/>
      <c r="VBG105" s="450"/>
      <c r="VBH105" s="450"/>
      <c r="VBI105" s="450"/>
      <c r="VBJ105" s="450"/>
      <c r="VBK105" s="450"/>
      <c r="VBL105" s="450"/>
      <c r="VBM105" s="450"/>
      <c r="VBN105" s="450"/>
      <c r="VBO105" s="450"/>
      <c r="VBP105" s="450"/>
      <c r="VBQ105" s="450"/>
      <c r="VBR105" s="450"/>
      <c r="VBS105" s="450"/>
      <c r="VBT105" s="450"/>
      <c r="VBU105" s="450"/>
      <c r="VBV105" s="450"/>
      <c r="VBW105" s="450"/>
      <c r="VBX105" s="450"/>
      <c r="VBY105" s="450"/>
      <c r="VBZ105" s="450"/>
      <c r="VCA105" s="450"/>
      <c r="VCB105" s="450"/>
      <c r="VCC105" s="450"/>
      <c r="VCD105" s="450"/>
      <c r="VCE105" s="450"/>
      <c r="VCF105" s="450"/>
      <c r="VCG105" s="450"/>
      <c r="VCH105" s="450"/>
      <c r="VCI105" s="450"/>
      <c r="VCJ105" s="450"/>
      <c r="VCK105" s="450"/>
      <c r="VCL105" s="450"/>
      <c r="VCM105" s="450"/>
      <c r="VCN105" s="450"/>
      <c r="VCO105" s="450"/>
      <c r="VCP105" s="450"/>
      <c r="VCQ105" s="450"/>
      <c r="VCR105" s="450"/>
      <c r="VCS105" s="450"/>
      <c r="VCT105" s="450"/>
      <c r="VCU105" s="450"/>
      <c r="VCV105" s="450"/>
      <c r="VCW105" s="450"/>
      <c r="VCX105" s="450"/>
      <c r="VCY105" s="450"/>
      <c r="VCZ105" s="450"/>
      <c r="VDA105" s="450"/>
      <c r="VDB105" s="450"/>
      <c r="VDC105" s="450"/>
      <c r="VDD105" s="450"/>
      <c r="VDE105" s="450"/>
      <c r="VDF105" s="450"/>
      <c r="VDG105" s="450"/>
      <c r="VDH105" s="450"/>
      <c r="VDI105" s="450"/>
      <c r="VDJ105" s="450"/>
      <c r="VDK105" s="450"/>
      <c r="VDL105" s="450"/>
      <c r="VDM105" s="450"/>
      <c r="VDN105" s="450"/>
      <c r="VDO105" s="450"/>
      <c r="VDP105" s="450"/>
      <c r="VDQ105" s="450"/>
      <c r="VDR105" s="450"/>
      <c r="VDS105" s="450"/>
      <c r="VDT105" s="450"/>
      <c r="VDU105" s="450"/>
      <c r="VDV105" s="450"/>
      <c r="VDW105" s="450"/>
      <c r="VDX105" s="450"/>
      <c r="VDY105" s="450"/>
      <c r="VDZ105" s="450"/>
      <c r="VEA105" s="450"/>
      <c r="VEB105" s="450"/>
      <c r="VEC105" s="450"/>
      <c r="VED105" s="450"/>
      <c r="VEE105" s="450"/>
      <c r="VEF105" s="450"/>
      <c r="VEG105" s="450"/>
      <c r="VEH105" s="450"/>
      <c r="VEI105" s="450"/>
      <c r="VEJ105" s="450"/>
      <c r="VEK105" s="450"/>
      <c r="VEL105" s="450"/>
      <c r="VEM105" s="450"/>
      <c r="VEN105" s="450"/>
      <c r="VEO105" s="450"/>
      <c r="VEP105" s="450"/>
      <c r="VEQ105" s="450"/>
      <c r="VER105" s="450"/>
      <c r="VES105" s="450"/>
      <c r="VET105" s="450"/>
      <c r="VEU105" s="450"/>
      <c r="VEV105" s="450"/>
      <c r="VEW105" s="450"/>
      <c r="VEX105" s="450"/>
      <c r="VEY105" s="450"/>
      <c r="VEZ105" s="450"/>
      <c r="VFA105" s="450"/>
      <c r="VFB105" s="450"/>
      <c r="VFC105" s="450"/>
      <c r="VFD105" s="450"/>
      <c r="VFE105" s="450"/>
      <c r="VFF105" s="450"/>
      <c r="VFG105" s="450"/>
      <c r="VFH105" s="450"/>
      <c r="VFI105" s="450"/>
      <c r="VFJ105" s="450"/>
      <c r="VFK105" s="450"/>
      <c r="VFL105" s="450"/>
      <c r="VFM105" s="450"/>
      <c r="VFN105" s="450"/>
      <c r="VFO105" s="450"/>
      <c r="VFP105" s="450"/>
      <c r="VFQ105" s="450"/>
      <c r="VFR105" s="450"/>
      <c r="VFS105" s="450"/>
      <c r="VFT105" s="450"/>
      <c r="VFU105" s="450"/>
      <c r="VFV105" s="450"/>
      <c r="VFW105" s="450"/>
      <c r="VFX105" s="450"/>
      <c r="VFY105" s="450"/>
      <c r="VFZ105" s="450"/>
      <c r="VGA105" s="450"/>
      <c r="VGB105" s="450"/>
      <c r="VGC105" s="450"/>
      <c r="VGD105" s="450"/>
      <c r="VGE105" s="450"/>
      <c r="VGF105" s="450"/>
      <c r="VGG105" s="450"/>
      <c r="VGH105" s="450"/>
      <c r="VGI105" s="450"/>
      <c r="VGJ105" s="450"/>
      <c r="VGK105" s="450"/>
      <c r="VGL105" s="450"/>
      <c r="VGM105" s="450"/>
      <c r="VGN105" s="450"/>
      <c r="VGO105" s="450"/>
      <c r="VGP105" s="450"/>
      <c r="VGQ105" s="450"/>
      <c r="VGR105" s="450"/>
      <c r="VGS105" s="450"/>
      <c r="VGT105" s="450"/>
      <c r="VGU105" s="450"/>
      <c r="VGV105" s="450"/>
      <c r="VGW105" s="450"/>
      <c r="VGX105" s="450"/>
      <c r="VGY105" s="450"/>
      <c r="VGZ105" s="450"/>
      <c r="VHA105" s="450"/>
      <c r="VHB105" s="450"/>
      <c r="VHC105" s="450"/>
      <c r="VHD105" s="450"/>
      <c r="VHE105" s="450"/>
      <c r="VHF105" s="450"/>
      <c r="VHG105" s="450"/>
      <c r="VHH105" s="450"/>
      <c r="VHI105" s="450"/>
      <c r="VHJ105" s="450"/>
      <c r="VHK105" s="450"/>
      <c r="VHL105" s="450"/>
      <c r="VHM105" s="450"/>
      <c r="VHN105" s="450"/>
      <c r="VHO105" s="450"/>
      <c r="VHP105" s="450"/>
      <c r="VHQ105" s="450"/>
      <c r="VHR105" s="450"/>
      <c r="VHS105" s="450"/>
      <c r="VHT105" s="450"/>
      <c r="VHU105" s="450"/>
      <c r="VHV105" s="450"/>
      <c r="VHW105" s="450"/>
      <c r="VHX105" s="450"/>
      <c r="VHY105" s="450"/>
      <c r="VHZ105" s="450"/>
      <c r="VIA105" s="450"/>
      <c r="VIB105" s="450"/>
      <c r="VIC105" s="450"/>
      <c r="VID105" s="450"/>
      <c r="VIE105" s="450"/>
      <c r="VIF105" s="450"/>
      <c r="VIG105" s="450"/>
      <c r="VIH105" s="450"/>
      <c r="VII105" s="450"/>
      <c r="VIJ105" s="450"/>
      <c r="VIK105" s="450"/>
      <c r="VIL105" s="450"/>
      <c r="VIM105" s="450"/>
      <c r="VIN105" s="450"/>
      <c r="VIO105" s="450"/>
      <c r="VIP105" s="450"/>
      <c r="VIQ105" s="450"/>
      <c r="VIR105" s="450"/>
      <c r="VIS105" s="450"/>
      <c r="VIT105" s="450"/>
      <c r="VIU105" s="450"/>
      <c r="VIV105" s="450"/>
      <c r="VIW105" s="450"/>
      <c r="VIX105" s="450"/>
      <c r="VIY105" s="450"/>
      <c r="VIZ105" s="450"/>
      <c r="VJA105" s="450"/>
      <c r="VJB105" s="450"/>
      <c r="VJC105" s="450"/>
      <c r="VJD105" s="450"/>
      <c r="VJE105" s="450"/>
      <c r="VJF105" s="450"/>
      <c r="VJG105" s="450"/>
      <c r="VJH105" s="450"/>
      <c r="VJI105" s="450"/>
      <c r="VJJ105" s="450"/>
      <c r="VJK105" s="450"/>
      <c r="VJL105" s="450"/>
      <c r="VJM105" s="450"/>
      <c r="VJN105" s="450"/>
      <c r="VJO105" s="450"/>
      <c r="VJP105" s="450"/>
      <c r="VJQ105" s="450"/>
      <c r="VJR105" s="450"/>
      <c r="VJS105" s="450"/>
      <c r="VJT105" s="450"/>
      <c r="VJU105" s="450"/>
      <c r="VJV105" s="450"/>
      <c r="VJW105" s="450"/>
      <c r="VJX105" s="450"/>
      <c r="VJY105" s="450"/>
      <c r="VJZ105" s="450"/>
      <c r="VKA105" s="450"/>
      <c r="VKB105" s="450"/>
      <c r="VKC105" s="450"/>
      <c r="VKD105" s="450"/>
      <c r="VKE105" s="450"/>
      <c r="VKF105" s="450"/>
      <c r="VKG105" s="450"/>
      <c r="VKH105" s="450"/>
      <c r="VKI105" s="450"/>
      <c r="VKJ105" s="450"/>
      <c r="VKK105" s="450"/>
      <c r="VKL105" s="450"/>
      <c r="VKM105" s="450"/>
      <c r="VKN105" s="450"/>
      <c r="VKO105" s="450"/>
      <c r="VKP105" s="450"/>
      <c r="VKQ105" s="450"/>
      <c r="VKR105" s="450"/>
      <c r="VKS105" s="450"/>
      <c r="VKT105" s="450"/>
      <c r="VKU105" s="450"/>
      <c r="VKV105" s="450"/>
      <c r="VKW105" s="450"/>
      <c r="VKX105" s="450"/>
      <c r="VKY105" s="450"/>
      <c r="VKZ105" s="450"/>
      <c r="VLA105" s="450"/>
      <c r="VLB105" s="450"/>
      <c r="VLC105" s="450"/>
      <c r="VLD105" s="450"/>
      <c r="VLE105" s="450"/>
      <c r="VLF105" s="450"/>
      <c r="VLG105" s="450"/>
      <c r="VLH105" s="450"/>
      <c r="VLI105" s="450"/>
      <c r="VLJ105" s="450"/>
      <c r="VLK105" s="450"/>
      <c r="VLL105" s="450"/>
      <c r="VLM105" s="450"/>
      <c r="VLN105" s="450"/>
      <c r="VLO105" s="450"/>
      <c r="VLP105" s="450"/>
      <c r="VLQ105" s="450"/>
      <c r="VLR105" s="450"/>
      <c r="VLS105" s="450"/>
      <c r="VLT105" s="450"/>
      <c r="VLU105" s="450"/>
      <c r="VLV105" s="450"/>
      <c r="VLW105" s="450"/>
      <c r="VLX105" s="450"/>
      <c r="VLY105" s="450"/>
      <c r="VLZ105" s="450"/>
      <c r="VMA105" s="450"/>
      <c r="VMB105" s="450"/>
      <c r="VMC105" s="450"/>
      <c r="VMD105" s="450"/>
      <c r="VME105" s="450"/>
      <c r="VMF105" s="450"/>
      <c r="VMG105" s="450"/>
      <c r="VMH105" s="450"/>
      <c r="VMI105" s="450"/>
      <c r="VMJ105" s="450"/>
      <c r="VMK105" s="450"/>
      <c r="VML105" s="450"/>
      <c r="VMM105" s="450"/>
      <c r="VMN105" s="450"/>
      <c r="VMO105" s="450"/>
      <c r="VMP105" s="450"/>
      <c r="VMQ105" s="450"/>
      <c r="VMR105" s="450"/>
      <c r="VMS105" s="450"/>
      <c r="VMT105" s="450"/>
      <c r="VMU105" s="450"/>
      <c r="VMV105" s="450"/>
      <c r="VMW105" s="450"/>
      <c r="VMX105" s="450"/>
      <c r="VMY105" s="450"/>
      <c r="VMZ105" s="450"/>
      <c r="VNA105" s="450"/>
      <c r="VNB105" s="450"/>
      <c r="VNC105" s="450"/>
      <c r="VND105" s="450"/>
      <c r="VNE105" s="450"/>
      <c r="VNF105" s="450"/>
      <c r="VNG105" s="450"/>
      <c r="VNH105" s="450"/>
      <c r="VNI105" s="450"/>
      <c r="VNJ105" s="450"/>
      <c r="VNK105" s="450"/>
      <c r="VNL105" s="450"/>
      <c r="VNM105" s="450"/>
      <c r="VNN105" s="450"/>
      <c r="VNO105" s="450"/>
      <c r="VNP105" s="450"/>
      <c r="VNQ105" s="450"/>
      <c r="VNR105" s="450"/>
      <c r="VNS105" s="450"/>
      <c r="VNT105" s="450"/>
      <c r="VNU105" s="450"/>
      <c r="VNV105" s="450"/>
      <c r="VNW105" s="450"/>
      <c r="VNX105" s="450"/>
      <c r="VNY105" s="450"/>
      <c r="VNZ105" s="450"/>
      <c r="VOA105" s="450"/>
      <c r="VOB105" s="450"/>
      <c r="VOC105" s="450"/>
      <c r="VOD105" s="450"/>
      <c r="VOE105" s="450"/>
      <c r="VOF105" s="450"/>
      <c r="VOG105" s="450"/>
      <c r="VOH105" s="450"/>
      <c r="VOI105" s="450"/>
      <c r="VOJ105" s="450"/>
      <c r="VOK105" s="450"/>
      <c r="VOL105" s="450"/>
      <c r="VOM105" s="450"/>
      <c r="VON105" s="450"/>
      <c r="VOO105" s="450"/>
      <c r="VOP105" s="450"/>
      <c r="VOQ105" s="450"/>
      <c r="VOR105" s="450"/>
      <c r="VOS105" s="450"/>
      <c r="VOT105" s="450"/>
      <c r="VOU105" s="450"/>
      <c r="VOV105" s="450"/>
      <c r="VOW105" s="450"/>
      <c r="VOX105" s="450"/>
      <c r="VOY105" s="450"/>
      <c r="VOZ105" s="450"/>
      <c r="VPA105" s="450"/>
      <c r="VPB105" s="450"/>
      <c r="VPC105" s="450"/>
      <c r="VPD105" s="450"/>
      <c r="VPE105" s="450"/>
      <c r="VPF105" s="450"/>
      <c r="VPG105" s="450"/>
      <c r="VPH105" s="450"/>
      <c r="VPI105" s="450"/>
      <c r="VPJ105" s="450"/>
      <c r="VPK105" s="450"/>
      <c r="VPL105" s="450"/>
      <c r="VPM105" s="450"/>
      <c r="VPN105" s="450"/>
      <c r="VPO105" s="450"/>
      <c r="VPP105" s="450"/>
      <c r="VPQ105" s="450"/>
      <c r="VPR105" s="450"/>
      <c r="VPS105" s="450"/>
      <c r="VPT105" s="450"/>
      <c r="VPU105" s="450"/>
      <c r="VPV105" s="450"/>
      <c r="VPW105" s="450"/>
      <c r="VPX105" s="450"/>
      <c r="VPY105" s="450"/>
      <c r="VPZ105" s="450"/>
      <c r="VQA105" s="450"/>
      <c r="VQB105" s="450"/>
      <c r="VQC105" s="450"/>
      <c r="VQD105" s="450"/>
      <c r="VQE105" s="450"/>
      <c r="VQF105" s="450"/>
      <c r="VQG105" s="450"/>
      <c r="VQH105" s="450"/>
      <c r="VQI105" s="450"/>
      <c r="VQJ105" s="450"/>
      <c r="VQK105" s="450"/>
      <c r="VQL105" s="450"/>
      <c r="VQM105" s="450"/>
      <c r="VQN105" s="450"/>
      <c r="VQO105" s="450"/>
      <c r="VQP105" s="450"/>
      <c r="VQQ105" s="450"/>
      <c r="VQR105" s="450"/>
      <c r="VQS105" s="450"/>
      <c r="VQT105" s="450"/>
      <c r="VQU105" s="450"/>
      <c r="VQV105" s="450"/>
      <c r="VQW105" s="450"/>
      <c r="VQX105" s="450"/>
      <c r="VQY105" s="450"/>
      <c r="VQZ105" s="450"/>
      <c r="VRA105" s="450"/>
      <c r="VRB105" s="450"/>
      <c r="VRC105" s="450"/>
      <c r="VRD105" s="450"/>
      <c r="VRE105" s="450"/>
      <c r="VRF105" s="450"/>
      <c r="VRG105" s="450"/>
      <c r="VRH105" s="450"/>
      <c r="VRI105" s="450"/>
      <c r="VRJ105" s="450"/>
      <c r="VRK105" s="450"/>
      <c r="VRL105" s="450"/>
      <c r="VRM105" s="450"/>
      <c r="VRN105" s="450"/>
      <c r="VRO105" s="450"/>
      <c r="VRP105" s="450"/>
      <c r="VRQ105" s="450"/>
      <c r="VRR105" s="450"/>
      <c r="VRS105" s="450"/>
      <c r="VRT105" s="450"/>
      <c r="VRU105" s="450"/>
      <c r="VRV105" s="450"/>
      <c r="VRW105" s="450"/>
      <c r="VRX105" s="450"/>
      <c r="VRY105" s="450"/>
      <c r="VRZ105" s="450"/>
      <c r="VSA105" s="450"/>
      <c r="VSB105" s="450"/>
      <c r="VSC105" s="450"/>
      <c r="VSD105" s="450"/>
      <c r="VSE105" s="450"/>
      <c r="VSF105" s="450"/>
      <c r="VSG105" s="450"/>
      <c r="VSH105" s="450"/>
      <c r="VSI105" s="450"/>
      <c r="VSJ105" s="450"/>
      <c r="VSK105" s="450"/>
      <c r="VSL105" s="450"/>
      <c r="VSM105" s="450"/>
      <c r="VSN105" s="450"/>
      <c r="VSO105" s="450"/>
      <c r="VSP105" s="450"/>
      <c r="VSQ105" s="450"/>
      <c r="VSR105" s="450"/>
      <c r="VSS105" s="450"/>
      <c r="VST105" s="450"/>
      <c r="VSU105" s="450"/>
      <c r="VSV105" s="450"/>
      <c r="VSW105" s="450"/>
      <c r="VSX105" s="450"/>
      <c r="VSY105" s="450"/>
      <c r="VSZ105" s="450"/>
      <c r="VTA105" s="450"/>
      <c r="VTB105" s="450"/>
      <c r="VTC105" s="450"/>
      <c r="VTD105" s="450"/>
      <c r="VTE105" s="450"/>
      <c r="VTF105" s="450"/>
      <c r="VTG105" s="450"/>
      <c r="VTH105" s="450"/>
      <c r="VTI105" s="450"/>
      <c r="VTJ105" s="450"/>
      <c r="VTK105" s="450"/>
      <c r="VTL105" s="450"/>
      <c r="VTM105" s="450"/>
      <c r="VTN105" s="450"/>
      <c r="VTO105" s="450"/>
      <c r="VTP105" s="450"/>
      <c r="VTQ105" s="450"/>
      <c r="VTR105" s="450"/>
      <c r="VTS105" s="450"/>
      <c r="VTT105" s="450"/>
      <c r="VTU105" s="450"/>
      <c r="VTV105" s="450"/>
      <c r="VTW105" s="450"/>
      <c r="VTX105" s="450"/>
      <c r="VTY105" s="450"/>
      <c r="VTZ105" s="450"/>
      <c r="VUA105" s="450"/>
      <c r="VUB105" s="450"/>
      <c r="VUC105" s="450"/>
      <c r="VUD105" s="450"/>
      <c r="VUE105" s="450"/>
      <c r="VUF105" s="450"/>
      <c r="VUG105" s="450"/>
      <c r="VUH105" s="450"/>
      <c r="VUI105" s="450"/>
      <c r="VUJ105" s="450"/>
      <c r="VUK105" s="450"/>
      <c r="VUL105" s="450"/>
      <c r="VUM105" s="450"/>
      <c r="VUN105" s="450"/>
      <c r="VUO105" s="450"/>
      <c r="VUP105" s="450"/>
      <c r="VUQ105" s="450"/>
      <c r="VUR105" s="450"/>
      <c r="VUS105" s="450"/>
      <c r="VUT105" s="450"/>
      <c r="VUU105" s="450"/>
      <c r="VUV105" s="450"/>
      <c r="VUW105" s="450"/>
      <c r="VUX105" s="450"/>
      <c r="VUY105" s="450"/>
      <c r="VUZ105" s="450"/>
      <c r="VVA105" s="450"/>
      <c r="VVB105" s="450"/>
      <c r="VVC105" s="450"/>
      <c r="VVD105" s="450"/>
      <c r="VVE105" s="450"/>
      <c r="VVF105" s="450"/>
      <c r="VVG105" s="450"/>
      <c r="VVH105" s="450"/>
      <c r="VVI105" s="450"/>
      <c r="VVJ105" s="450"/>
      <c r="VVK105" s="450"/>
      <c r="VVL105" s="450"/>
      <c r="VVM105" s="450"/>
      <c r="VVN105" s="450"/>
      <c r="VVO105" s="450"/>
      <c r="VVP105" s="450"/>
      <c r="VVQ105" s="450"/>
      <c r="VVR105" s="450"/>
      <c r="VVS105" s="450"/>
      <c r="VVT105" s="450"/>
      <c r="VVU105" s="450"/>
      <c r="VVV105" s="450"/>
      <c r="VVW105" s="450"/>
      <c r="VVX105" s="450"/>
      <c r="VVY105" s="450"/>
      <c r="VVZ105" s="450"/>
      <c r="VWA105" s="450"/>
      <c r="VWB105" s="450"/>
      <c r="VWC105" s="450"/>
      <c r="VWD105" s="450"/>
      <c r="VWE105" s="450"/>
      <c r="VWF105" s="450"/>
      <c r="VWG105" s="450"/>
      <c r="VWH105" s="450"/>
      <c r="VWI105" s="450"/>
      <c r="VWJ105" s="450"/>
      <c r="VWK105" s="450"/>
      <c r="VWL105" s="450"/>
      <c r="VWM105" s="450"/>
      <c r="VWN105" s="450"/>
      <c r="VWO105" s="450"/>
      <c r="VWP105" s="450"/>
      <c r="VWQ105" s="450"/>
      <c r="VWR105" s="450"/>
      <c r="VWS105" s="450"/>
      <c r="VWT105" s="450"/>
      <c r="VWU105" s="450"/>
      <c r="VWV105" s="450"/>
      <c r="VWW105" s="450"/>
      <c r="VWX105" s="450"/>
      <c r="VWY105" s="450"/>
      <c r="VWZ105" s="450"/>
      <c r="VXA105" s="450"/>
      <c r="VXB105" s="450"/>
      <c r="VXC105" s="450"/>
      <c r="VXD105" s="450"/>
      <c r="VXE105" s="450"/>
      <c r="VXF105" s="450"/>
      <c r="VXG105" s="450"/>
      <c r="VXH105" s="450"/>
      <c r="VXI105" s="450"/>
      <c r="VXJ105" s="450"/>
      <c r="VXK105" s="450"/>
      <c r="VXL105" s="450"/>
      <c r="VXM105" s="450"/>
      <c r="VXN105" s="450"/>
      <c r="VXO105" s="450"/>
      <c r="VXP105" s="450"/>
      <c r="VXQ105" s="450"/>
      <c r="VXR105" s="450"/>
      <c r="VXS105" s="450"/>
      <c r="VXT105" s="450"/>
      <c r="VXU105" s="450"/>
      <c r="VXV105" s="450"/>
      <c r="VXW105" s="450"/>
      <c r="VXX105" s="450"/>
      <c r="VXY105" s="450"/>
      <c r="VXZ105" s="450"/>
      <c r="VYA105" s="450"/>
      <c r="VYB105" s="450"/>
      <c r="VYC105" s="450"/>
      <c r="VYD105" s="450"/>
      <c r="VYE105" s="450"/>
      <c r="VYF105" s="450"/>
      <c r="VYG105" s="450"/>
      <c r="VYH105" s="450"/>
      <c r="VYI105" s="450"/>
      <c r="VYJ105" s="450"/>
      <c r="VYK105" s="450"/>
      <c r="VYL105" s="450"/>
      <c r="VYM105" s="450"/>
      <c r="VYN105" s="450"/>
      <c r="VYO105" s="450"/>
      <c r="VYP105" s="450"/>
      <c r="VYQ105" s="450"/>
      <c r="VYR105" s="450"/>
      <c r="VYS105" s="450"/>
      <c r="VYT105" s="450"/>
      <c r="VYU105" s="450"/>
      <c r="VYV105" s="450"/>
      <c r="VYW105" s="450"/>
      <c r="VYX105" s="450"/>
      <c r="VYY105" s="450"/>
      <c r="VYZ105" s="450"/>
      <c r="VZA105" s="450"/>
      <c r="VZB105" s="450"/>
      <c r="VZC105" s="450"/>
      <c r="VZD105" s="450"/>
      <c r="VZE105" s="450"/>
      <c r="VZF105" s="450"/>
      <c r="VZG105" s="450"/>
      <c r="VZH105" s="450"/>
      <c r="VZI105" s="450"/>
      <c r="VZJ105" s="450"/>
      <c r="VZK105" s="450"/>
      <c r="VZL105" s="450"/>
      <c r="VZM105" s="450"/>
      <c r="VZN105" s="450"/>
      <c r="VZO105" s="450"/>
      <c r="VZP105" s="450"/>
      <c r="VZQ105" s="450"/>
      <c r="VZR105" s="450"/>
      <c r="VZS105" s="450"/>
      <c r="VZT105" s="450"/>
      <c r="VZU105" s="450"/>
      <c r="VZV105" s="450"/>
      <c r="VZW105" s="450"/>
      <c r="VZX105" s="450"/>
      <c r="VZY105" s="450"/>
      <c r="VZZ105" s="450"/>
      <c r="WAA105" s="450"/>
      <c r="WAB105" s="450"/>
      <c r="WAC105" s="450"/>
      <c r="WAD105" s="450"/>
      <c r="WAE105" s="450"/>
      <c r="WAF105" s="450"/>
      <c r="WAG105" s="450"/>
      <c r="WAH105" s="450"/>
      <c r="WAI105" s="450"/>
      <c r="WAJ105" s="450"/>
      <c r="WAK105" s="450"/>
      <c r="WAL105" s="450"/>
      <c r="WAM105" s="450"/>
      <c r="WAN105" s="450"/>
      <c r="WAO105" s="450"/>
      <c r="WAP105" s="450"/>
      <c r="WAQ105" s="450"/>
      <c r="WAR105" s="450"/>
      <c r="WAS105" s="450"/>
      <c r="WAT105" s="450"/>
      <c r="WAU105" s="450"/>
      <c r="WAV105" s="450"/>
      <c r="WAW105" s="450"/>
      <c r="WAX105" s="450"/>
      <c r="WAY105" s="450"/>
      <c r="WAZ105" s="450"/>
      <c r="WBA105" s="450"/>
      <c r="WBB105" s="450"/>
      <c r="WBC105" s="450"/>
      <c r="WBD105" s="450"/>
      <c r="WBE105" s="450"/>
      <c r="WBF105" s="450"/>
      <c r="WBG105" s="450"/>
      <c r="WBH105" s="450"/>
      <c r="WBI105" s="450"/>
      <c r="WBJ105" s="450"/>
      <c r="WBK105" s="450"/>
      <c r="WBL105" s="450"/>
      <c r="WBM105" s="450"/>
      <c r="WBN105" s="450"/>
      <c r="WBO105" s="450"/>
      <c r="WBP105" s="450"/>
      <c r="WBQ105" s="450"/>
      <c r="WBR105" s="450"/>
      <c r="WBS105" s="450"/>
      <c r="WBT105" s="450"/>
      <c r="WBU105" s="450"/>
      <c r="WBV105" s="450"/>
      <c r="WBW105" s="450"/>
      <c r="WBX105" s="450"/>
      <c r="WBY105" s="450"/>
      <c r="WBZ105" s="450"/>
      <c r="WCA105" s="450"/>
      <c r="WCB105" s="450"/>
      <c r="WCC105" s="450"/>
      <c r="WCD105" s="450"/>
      <c r="WCE105" s="450"/>
      <c r="WCF105" s="450"/>
      <c r="WCG105" s="450"/>
      <c r="WCH105" s="450"/>
      <c r="WCI105" s="450"/>
      <c r="WCJ105" s="450"/>
      <c r="WCK105" s="450"/>
      <c r="WCL105" s="450"/>
      <c r="WCM105" s="450"/>
      <c r="WCN105" s="450"/>
      <c r="WCO105" s="450"/>
      <c r="WCP105" s="450"/>
      <c r="WCQ105" s="450"/>
      <c r="WCR105" s="450"/>
      <c r="WCS105" s="450"/>
      <c r="WCT105" s="450"/>
      <c r="WCU105" s="450"/>
      <c r="WCV105" s="450"/>
      <c r="WCW105" s="450"/>
      <c r="WCX105" s="450"/>
      <c r="WCY105" s="450"/>
      <c r="WCZ105" s="450"/>
      <c r="WDA105" s="450"/>
      <c r="WDB105" s="450"/>
      <c r="WDC105" s="450"/>
      <c r="WDD105" s="450"/>
      <c r="WDE105" s="450"/>
      <c r="WDF105" s="450"/>
      <c r="WDG105" s="450"/>
      <c r="WDH105" s="450"/>
      <c r="WDI105" s="450"/>
      <c r="WDJ105" s="450"/>
      <c r="WDK105" s="450"/>
      <c r="WDL105" s="450"/>
      <c r="WDM105" s="450"/>
      <c r="WDN105" s="450"/>
      <c r="WDO105" s="450"/>
      <c r="WDP105" s="450"/>
      <c r="WDQ105" s="450"/>
      <c r="WDR105" s="450"/>
      <c r="WDS105" s="450"/>
      <c r="WDT105" s="450"/>
      <c r="WDU105" s="450"/>
      <c r="WDV105" s="450"/>
      <c r="WDW105" s="450"/>
      <c r="WDX105" s="450"/>
      <c r="WDY105" s="450"/>
      <c r="WDZ105" s="450"/>
      <c r="WEA105" s="450"/>
      <c r="WEB105" s="450"/>
      <c r="WEC105" s="450"/>
      <c r="WED105" s="450"/>
      <c r="WEE105" s="450"/>
      <c r="WEF105" s="450"/>
      <c r="WEG105" s="450"/>
      <c r="WEH105" s="450"/>
      <c r="WEI105" s="450"/>
      <c r="WEJ105" s="450"/>
      <c r="WEK105" s="450"/>
      <c r="WEL105" s="450"/>
      <c r="WEM105" s="450"/>
      <c r="WEN105" s="450"/>
      <c r="WEO105" s="450"/>
      <c r="WEP105" s="450"/>
      <c r="WEQ105" s="450"/>
      <c r="WER105" s="450"/>
      <c r="WES105" s="450"/>
      <c r="WET105" s="450"/>
      <c r="WEU105" s="450"/>
      <c r="WEV105" s="450"/>
      <c r="WEW105" s="450"/>
      <c r="WEX105" s="450"/>
      <c r="WEY105" s="450"/>
      <c r="WEZ105" s="450"/>
      <c r="WFA105" s="450"/>
      <c r="WFB105" s="450"/>
      <c r="WFC105" s="450"/>
      <c r="WFD105" s="450"/>
      <c r="WFE105" s="450"/>
      <c r="WFF105" s="450"/>
      <c r="WFG105" s="450"/>
      <c r="WFH105" s="450"/>
      <c r="WFI105" s="450"/>
      <c r="WFJ105" s="450"/>
      <c r="WFK105" s="450"/>
      <c r="WFL105" s="450"/>
      <c r="WFM105" s="450"/>
      <c r="WFN105" s="450"/>
      <c r="WFO105" s="450"/>
      <c r="WFP105" s="450"/>
      <c r="WFQ105" s="450"/>
      <c r="WFR105" s="450"/>
      <c r="WFS105" s="450"/>
      <c r="WFT105" s="450"/>
      <c r="WFU105" s="450"/>
      <c r="WFV105" s="450"/>
      <c r="WFW105" s="450"/>
      <c r="WFX105" s="450"/>
      <c r="WFY105" s="450"/>
      <c r="WFZ105" s="450"/>
      <c r="WGA105" s="450"/>
      <c r="WGB105" s="450"/>
      <c r="WGC105" s="450"/>
      <c r="WGD105" s="450"/>
      <c r="WGE105" s="450"/>
      <c r="WGF105" s="450"/>
      <c r="WGG105" s="450"/>
      <c r="WGH105" s="450"/>
      <c r="WGI105" s="450"/>
      <c r="WGJ105" s="450"/>
      <c r="WGK105" s="450"/>
      <c r="WGL105" s="450"/>
      <c r="WGM105" s="450"/>
      <c r="WGN105" s="450"/>
      <c r="WGO105" s="450"/>
      <c r="WGP105" s="450"/>
      <c r="WGQ105" s="450"/>
      <c r="WGR105" s="450"/>
      <c r="WGS105" s="450"/>
      <c r="WGT105" s="450"/>
      <c r="WGU105" s="450"/>
      <c r="WGV105" s="450"/>
      <c r="WGW105" s="450"/>
      <c r="WGX105" s="450"/>
      <c r="WGY105" s="450"/>
      <c r="WGZ105" s="450"/>
      <c r="WHA105" s="450"/>
      <c r="WHB105" s="450"/>
      <c r="WHC105" s="450"/>
      <c r="WHD105" s="450"/>
      <c r="WHE105" s="450"/>
      <c r="WHF105" s="450"/>
      <c r="WHG105" s="450"/>
      <c r="WHH105" s="450"/>
      <c r="WHI105" s="450"/>
      <c r="WHJ105" s="450"/>
      <c r="WHK105" s="450"/>
      <c r="WHL105" s="450"/>
      <c r="WHM105" s="450"/>
      <c r="WHN105" s="450"/>
      <c r="WHO105" s="450"/>
      <c r="WHP105" s="450"/>
      <c r="WHQ105" s="450"/>
      <c r="WHR105" s="450"/>
      <c r="WHS105" s="450"/>
      <c r="WHT105" s="450"/>
      <c r="WHU105" s="450"/>
      <c r="WHV105" s="450"/>
      <c r="WHW105" s="450"/>
      <c r="WHX105" s="450"/>
      <c r="WHY105" s="450"/>
      <c r="WHZ105" s="450"/>
      <c r="WIA105" s="450"/>
      <c r="WIB105" s="450"/>
      <c r="WIC105" s="450"/>
      <c r="WID105" s="450"/>
      <c r="WIE105" s="450"/>
      <c r="WIF105" s="450"/>
      <c r="WIG105" s="450"/>
      <c r="WIH105" s="450"/>
      <c r="WII105" s="450"/>
      <c r="WIJ105" s="450"/>
      <c r="WIK105" s="450"/>
      <c r="WIL105" s="450"/>
      <c r="WIM105" s="450"/>
      <c r="WIN105" s="450"/>
      <c r="WIO105" s="450"/>
      <c r="WIP105" s="450"/>
      <c r="WIQ105" s="450"/>
      <c r="WIR105" s="450"/>
      <c r="WIS105" s="450"/>
      <c r="WIT105" s="450"/>
      <c r="WIU105" s="450"/>
      <c r="WIV105" s="450"/>
      <c r="WIW105" s="450"/>
      <c r="WIX105" s="450"/>
      <c r="WIY105" s="450"/>
      <c r="WIZ105" s="450"/>
      <c r="WJA105" s="450"/>
      <c r="WJB105" s="450"/>
      <c r="WJC105" s="450"/>
      <c r="WJD105" s="450"/>
      <c r="WJE105" s="450"/>
      <c r="WJF105" s="450"/>
      <c r="WJG105" s="450"/>
      <c r="WJH105" s="450"/>
      <c r="WJI105" s="450"/>
      <c r="WJJ105" s="450"/>
      <c r="WJK105" s="450"/>
      <c r="WJL105" s="450"/>
      <c r="WJM105" s="450"/>
      <c r="WJN105" s="450"/>
      <c r="WJO105" s="450"/>
      <c r="WJP105" s="450"/>
      <c r="WJQ105" s="450"/>
      <c r="WJR105" s="450"/>
      <c r="WJS105" s="450"/>
      <c r="WJT105" s="450"/>
      <c r="WJU105" s="450"/>
      <c r="WJV105" s="450"/>
      <c r="WJW105" s="450"/>
      <c r="WJX105" s="450"/>
      <c r="WJY105" s="450"/>
      <c r="WJZ105" s="450"/>
      <c r="WKA105" s="450"/>
      <c r="WKB105" s="450"/>
      <c r="WKC105" s="450"/>
      <c r="WKD105" s="450"/>
      <c r="WKE105" s="450"/>
      <c r="WKF105" s="450"/>
      <c r="WKG105" s="450"/>
      <c r="WKH105" s="450"/>
      <c r="WKI105" s="450"/>
      <c r="WKJ105" s="450"/>
      <c r="WKK105" s="450"/>
      <c r="WKL105" s="450"/>
      <c r="WKM105" s="450"/>
      <c r="WKN105" s="450"/>
      <c r="WKO105" s="450"/>
      <c r="WKP105" s="450"/>
      <c r="WKQ105" s="450"/>
      <c r="WKR105" s="450"/>
      <c r="WKS105" s="450"/>
      <c r="WKT105" s="450"/>
      <c r="WKU105" s="450"/>
      <c r="WKV105" s="450"/>
      <c r="WKW105" s="450"/>
      <c r="WKX105" s="450"/>
      <c r="WKY105" s="450"/>
      <c r="WKZ105" s="450"/>
      <c r="WLA105" s="450"/>
      <c r="WLB105" s="450"/>
      <c r="WLC105" s="450"/>
      <c r="WLD105" s="450"/>
      <c r="WLE105" s="450"/>
      <c r="WLF105" s="450"/>
      <c r="WLG105" s="450"/>
      <c r="WLH105" s="450"/>
      <c r="WLI105" s="450"/>
      <c r="WLJ105" s="450"/>
      <c r="WLK105" s="450"/>
      <c r="WLL105" s="450"/>
      <c r="WLM105" s="450"/>
      <c r="WLN105" s="450"/>
      <c r="WLO105" s="450"/>
      <c r="WLP105" s="450"/>
      <c r="WLQ105" s="450"/>
      <c r="WLR105" s="450"/>
      <c r="WLS105" s="450"/>
      <c r="WLT105" s="450"/>
      <c r="WLU105" s="450"/>
      <c r="WLV105" s="450"/>
      <c r="WLW105" s="450"/>
      <c r="WLX105" s="450"/>
      <c r="WLY105" s="450"/>
      <c r="WLZ105" s="450"/>
      <c r="WMA105" s="450"/>
      <c r="WMB105" s="450"/>
      <c r="WMC105" s="450"/>
      <c r="WMD105" s="450"/>
      <c r="WME105" s="450"/>
      <c r="WMF105" s="450"/>
      <c r="WMG105" s="450"/>
      <c r="WMH105" s="450"/>
      <c r="WMI105" s="450"/>
      <c r="WMJ105" s="450"/>
      <c r="WMK105" s="450"/>
      <c r="WML105" s="450"/>
      <c r="WMM105" s="450"/>
      <c r="WMN105" s="450"/>
      <c r="WMO105" s="450"/>
      <c r="WMP105" s="450"/>
      <c r="WMQ105" s="450"/>
      <c r="WMR105" s="450"/>
      <c r="WMS105" s="450"/>
      <c r="WMT105" s="450"/>
      <c r="WMU105" s="450"/>
      <c r="WMV105" s="450"/>
      <c r="WMW105" s="450"/>
      <c r="WMX105" s="450"/>
      <c r="WMY105" s="450"/>
      <c r="WMZ105" s="450"/>
      <c r="WNA105" s="450"/>
      <c r="WNB105" s="450"/>
      <c r="WNC105" s="450"/>
      <c r="WND105" s="450"/>
      <c r="WNE105" s="450"/>
      <c r="WNF105" s="450"/>
      <c r="WNG105" s="450"/>
      <c r="WNH105" s="450"/>
      <c r="WNI105" s="450"/>
      <c r="WNJ105" s="450"/>
      <c r="WNK105" s="450"/>
      <c r="WNL105" s="450"/>
      <c r="WNM105" s="450"/>
      <c r="WNN105" s="450"/>
      <c r="WNO105" s="450"/>
      <c r="WNP105" s="450"/>
      <c r="WNQ105" s="450"/>
      <c r="WNR105" s="450"/>
      <c r="WNS105" s="450"/>
      <c r="WNT105" s="450"/>
      <c r="WNU105" s="450"/>
      <c r="WNV105" s="450"/>
      <c r="WNW105" s="450"/>
      <c r="WNX105" s="450"/>
      <c r="WNY105" s="450"/>
      <c r="WNZ105" s="450"/>
      <c r="WOA105" s="450"/>
      <c r="WOB105" s="450"/>
      <c r="WOC105" s="450"/>
      <c r="WOD105" s="450"/>
      <c r="WOE105" s="450"/>
      <c r="WOF105" s="450"/>
      <c r="WOG105" s="450"/>
      <c r="WOH105" s="450"/>
      <c r="WOI105" s="450"/>
      <c r="WOJ105" s="450"/>
      <c r="WOK105" s="450"/>
      <c r="WOL105" s="450"/>
      <c r="WOM105" s="450"/>
      <c r="WON105" s="450"/>
      <c r="WOO105" s="450"/>
      <c r="WOP105" s="450"/>
      <c r="WOQ105" s="450"/>
      <c r="WOR105" s="450"/>
      <c r="WOS105" s="450"/>
      <c r="WOT105" s="450"/>
      <c r="WOU105" s="450"/>
      <c r="WOV105" s="450"/>
      <c r="WOW105" s="450"/>
      <c r="WOX105" s="450"/>
      <c r="WOY105" s="450"/>
      <c r="WOZ105" s="450"/>
      <c r="WPA105" s="450"/>
      <c r="WPB105" s="450"/>
      <c r="WPC105" s="450"/>
      <c r="WPD105" s="450"/>
      <c r="WPE105" s="450"/>
      <c r="WPF105" s="450"/>
      <c r="WPG105" s="450"/>
      <c r="WPH105" s="450"/>
      <c r="WPI105" s="450"/>
      <c r="WPJ105" s="450"/>
      <c r="WPK105" s="450"/>
      <c r="WPL105" s="450"/>
      <c r="WPM105" s="450"/>
      <c r="WPN105" s="450"/>
      <c r="WPO105" s="450"/>
      <c r="WPP105" s="450"/>
      <c r="WPQ105" s="450"/>
      <c r="WPR105" s="450"/>
      <c r="WPS105" s="450"/>
      <c r="WPT105" s="450"/>
      <c r="WPU105" s="450"/>
      <c r="WPV105" s="450"/>
      <c r="WPW105" s="450"/>
      <c r="WPX105" s="450"/>
      <c r="WPY105" s="450"/>
      <c r="WPZ105" s="450"/>
      <c r="WQA105" s="450"/>
      <c r="WQB105" s="450"/>
      <c r="WQC105" s="450"/>
      <c r="WQD105" s="450"/>
      <c r="WQE105" s="450"/>
      <c r="WQF105" s="450"/>
      <c r="WQG105" s="450"/>
      <c r="WQH105" s="450"/>
      <c r="WQI105" s="450"/>
      <c r="WQJ105" s="450"/>
      <c r="WQK105" s="450"/>
      <c r="WQL105" s="450"/>
      <c r="WQM105" s="450"/>
      <c r="WQN105" s="450"/>
      <c r="WQO105" s="450"/>
      <c r="WQP105" s="450"/>
      <c r="WQQ105" s="450"/>
      <c r="WQR105" s="450"/>
      <c r="WQS105" s="450"/>
      <c r="WQT105" s="450"/>
      <c r="WQU105" s="450"/>
      <c r="WQV105" s="450"/>
      <c r="WQW105" s="450"/>
      <c r="WQX105" s="450"/>
      <c r="WQY105" s="450"/>
      <c r="WQZ105" s="450"/>
      <c r="WRA105" s="450"/>
      <c r="WRB105" s="450"/>
      <c r="WRC105" s="450"/>
      <c r="WRD105" s="450"/>
      <c r="WRE105" s="450"/>
      <c r="WRF105" s="450"/>
      <c r="WRG105" s="450"/>
      <c r="WRH105" s="450"/>
      <c r="WRI105" s="450"/>
      <c r="WRJ105" s="450"/>
      <c r="WRK105" s="450"/>
      <c r="WRL105" s="450"/>
      <c r="WRM105" s="450"/>
      <c r="WRN105" s="450"/>
      <c r="WRO105" s="450"/>
      <c r="WRP105" s="450"/>
      <c r="WRQ105" s="450"/>
      <c r="WRR105" s="450"/>
      <c r="WRS105" s="450"/>
      <c r="WRT105" s="450"/>
      <c r="WRU105" s="450"/>
      <c r="WRV105" s="450"/>
      <c r="WRW105" s="450"/>
      <c r="WRX105" s="450"/>
      <c r="WRY105" s="450"/>
      <c r="WRZ105" s="450"/>
      <c r="WSA105" s="450"/>
      <c r="WSB105" s="450"/>
      <c r="WSC105" s="450"/>
      <c r="WSD105" s="450"/>
      <c r="WSE105" s="450"/>
      <c r="WSF105" s="450"/>
      <c r="WSG105" s="450"/>
      <c r="WSH105" s="450"/>
      <c r="WSI105" s="450"/>
      <c r="WSJ105" s="450"/>
      <c r="WSK105" s="450"/>
      <c r="WSL105" s="450"/>
      <c r="WSM105" s="450"/>
      <c r="WSN105" s="450"/>
      <c r="WSO105" s="450"/>
      <c r="WSP105" s="450"/>
      <c r="WSQ105" s="450"/>
      <c r="WSR105" s="450"/>
      <c r="WSS105" s="450"/>
      <c r="WST105" s="450"/>
      <c r="WSU105" s="450"/>
      <c r="WSV105" s="450"/>
      <c r="WSW105" s="450"/>
      <c r="WSX105" s="450"/>
      <c r="WSY105" s="450"/>
      <c r="WSZ105" s="450"/>
      <c r="WTA105" s="450"/>
      <c r="WTB105" s="450"/>
      <c r="WTC105" s="450"/>
      <c r="WTD105" s="450"/>
      <c r="WTE105" s="450"/>
      <c r="WTF105" s="450"/>
      <c r="WTG105" s="450"/>
      <c r="WTH105" s="450"/>
      <c r="WTI105" s="450"/>
      <c r="WTJ105" s="450"/>
      <c r="WTK105" s="450"/>
      <c r="WTL105" s="450"/>
      <c r="WTM105" s="450"/>
      <c r="WTN105" s="450"/>
      <c r="WTO105" s="450"/>
      <c r="WTP105" s="450"/>
      <c r="WTQ105" s="450"/>
      <c r="WTR105" s="450"/>
      <c r="WTS105" s="450"/>
      <c r="WTT105" s="450"/>
      <c r="WTU105" s="450"/>
      <c r="WTV105" s="450"/>
      <c r="WTW105" s="450"/>
      <c r="WTX105" s="450"/>
      <c r="WTY105" s="450"/>
      <c r="WTZ105" s="450"/>
      <c r="WUA105" s="450"/>
      <c r="WUB105" s="450"/>
      <c r="WUC105" s="450"/>
      <c r="WUD105" s="450"/>
      <c r="WUE105" s="450"/>
      <c r="WUF105" s="450"/>
      <c r="WUG105" s="450"/>
      <c r="WUH105" s="450"/>
      <c r="WUI105" s="450"/>
      <c r="WUJ105" s="450"/>
      <c r="WUK105" s="450"/>
      <c r="WUL105" s="450"/>
      <c r="WUM105" s="450"/>
      <c r="WUN105" s="450"/>
      <c r="WUO105" s="450"/>
      <c r="WUP105" s="450"/>
      <c r="WUQ105" s="450"/>
      <c r="WUR105" s="450"/>
      <c r="WUS105" s="450"/>
      <c r="WUT105" s="450"/>
      <c r="WUU105" s="450"/>
      <c r="WUV105" s="450"/>
      <c r="WUW105" s="450"/>
      <c r="WUX105" s="450"/>
      <c r="WUY105" s="450"/>
      <c r="WUZ105" s="450"/>
      <c r="WVA105" s="450"/>
      <c r="WVB105" s="450"/>
      <c r="WVC105" s="450"/>
      <c r="WVD105" s="450"/>
      <c r="WVE105" s="450"/>
      <c r="WVF105" s="450"/>
      <c r="WVG105" s="450"/>
      <c r="WVH105" s="450"/>
      <c r="WVI105" s="450"/>
      <c r="WVJ105" s="450"/>
      <c r="WVK105" s="450"/>
      <c r="WVL105" s="450"/>
      <c r="WVM105" s="450"/>
      <c r="WVN105" s="450"/>
      <c r="WVO105" s="450"/>
      <c r="WVP105" s="450"/>
      <c r="WVQ105" s="450"/>
      <c r="WVR105" s="450"/>
      <c r="WVS105" s="450"/>
      <c r="WVT105" s="450"/>
      <c r="WVU105" s="450"/>
      <c r="WVV105" s="450"/>
      <c r="WVW105" s="450"/>
      <c r="WVX105" s="450"/>
      <c r="WVY105" s="450"/>
      <c r="WVZ105" s="450"/>
      <c r="WWA105" s="450"/>
      <c r="WWB105" s="450"/>
      <c r="WWC105" s="450"/>
      <c r="WWD105" s="450"/>
      <c r="WWE105" s="450"/>
      <c r="WWF105" s="450"/>
      <c r="WWG105" s="450"/>
      <c r="WWH105" s="450"/>
      <c r="WWI105" s="450"/>
      <c r="WWJ105" s="450"/>
      <c r="WWK105" s="450"/>
      <c r="WWL105" s="450"/>
      <c r="WWM105" s="450"/>
      <c r="WWN105" s="450"/>
      <c r="WWO105" s="450"/>
      <c r="WWP105" s="450"/>
      <c r="WWQ105" s="450"/>
      <c r="WWR105" s="450"/>
      <c r="WWS105" s="450"/>
      <c r="WWT105" s="450"/>
      <c r="WWU105" s="450"/>
      <c r="WWV105" s="450"/>
      <c r="WWW105" s="450"/>
      <c r="WWX105" s="450"/>
      <c r="WWY105" s="450"/>
      <c r="WWZ105" s="450"/>
      <c r="WXA105" s="450"/>
      <c r="WXB105" s="450"/>
      <c r="WXC105" s="450"/>
      <c r="WXD105" s="450"/>
      <c r="WXE105" s="450"/>
      <c r="WXF105" s="450"/>
      <c r="WXG105" s="450"/>
      <c r="WXH105" s="450"/>
      <c r="WXI105" s="450"/>
      <c r="WXJ105" s="450"/>
      <c r="WXK105" s="450"/>
      <c r="WXL105" s="450"/>
      <c r="WXM105" s="450"/>
      <c r="WXN105" s="450"/>
      <c r="WXO105" s="450"/>
      <c r="WXP105" s="450"/>
      <c r="WXQ105" s="450"/>
      <c r="WXR105" s="450"/>
      <c r="WXS105" s="450"/>
      <c r="WXT105" s="450"/>
      <c r="WXU105" s="450"/>
      <c r="WXV105" s="450"/>
      <c r="WXW105" s="450"/>
      <c r="WXX105" s="450"/>
      <c r="WXY105" s="450"/>
      <c r="WXZ105" s="450"/>
      <c r="WYA105" s="450"/>
      <c r="WYB105" s="450"/>
      <c r="WYC105" s="450"/>
      <c r="WYD105" s="450"/>
      <c r="WYE105" s="450"/>
      <c r="WYF105" s="450"/>
      <c r="WYG105" s="450"/>
      <c r="WYH105" s="450"/>
      <c r="WYI105" s="450"/>
      <c r="WYJ105" s="450"/>
      <c r="WYK105" s="450"/>
      <c r="WYL105" s="450"/>
      <c r="WYM105" s="450"/>
      <c r="WYN105" s="450"/>
      <c r="WYO105" s="450"/>
      <c r="WYP105" s="450"/>
      <c r="WYQ105" s="450"/>
      <c r="WYR105" s="450"/>
      <c r="WYS105" s="450"/>
      <c r="WYT105" s="450"/>
      <c r="WYU105" s="450"/>
      <c r="WYV105" s="450"/>
      <c r="WYW105" s="450"/>
      <c r="WYX105" s="450"/>
      <c r="WYY105" s="450"/>
      <c r="WYZ105" s="450"/>
      <c r="WZA105" s="450"/>
      <c r="WZB105" s="450"/>
      <c r="WZC105" s="450"/>
      <c r="WZD105" s="450"/>
      <c r="WZE105" s="450"/>
      <c r="WZF105" s="450"/>
      <c r="WZG105" s="450"/>
      <c r="WZH105" s="450"/>
      <c r="WZI105" s="450"/>
      <c r="WZJ105" s="450"/>
      <c r="WZK105" s="450"/>
      <c r="WZL105" s="450"/>
      <c r="WZM105" s="450"/>
      <c r="WZN105" s="450"/>
      <c r="WZO105" s="450"/>
      <c r="WZP105" s="450"/>
      <c r="WZQ105" s="450"/>
      <c r="WZR105" s="450"/>
      <c r="WZS105" s="450"/>
      <c r="WZT105" s="450"/>
      <c r="WZU105" s="450"/>
      <c r="WZV105" s="450"/>
      <c r="WZW105" s="450"/>
      <c r="WZX105" s="450"/>
      <c r="WZY105" s="450"/>
      <c r="WZZ105" s="450"/>
      <c r="XAA105" s="450"/>
      <c r="XAB105" s="450"/>
      <c r="XAC105" s="450"/>
      <c r="XAD105" s="450"/>
      <c r="XAE105" s="450"/>
      <c r="XAF105" s="450"/>
      <c r="XAG105" s="450"/>
      <c r="XAH105" s="450"/>
      <c r="XAI105" s="450"/>
      <c r="XAJ105" s="450"/>
      <c r="XAK105" s="450"/>
      <c r="XAL105" s="450"/>
      <c r="XAM105" s="450"/>
      <c r="XAN105" s="450"/>
      <c r="XAO105" s="450"/>
      <c r="XAP105" s="450"/>
      <c r="XAQ105" s="450"/>
      <c r="XAR105" s="450"/>
      <c r="XAS105" s="450"/>
      <c r="XAT105" s="450"/>
      <c r="XAU105" s="450"/>
      <c r="XAV105" s="450"/>
      <c r="XAW105" s="450"/>
      <c r="XAX105" s="450"/>
      <c r="XAY105" s="450"/>
      <c r="XAZ105" s="450"/>
      <c r="XBA105" s="450"/>
      <c r="XBB105" s="450"/>
      <c r="XBC105" s="450"/>
      <c r="XBD105" s="450"/>
      <c r="XBE105" s="450"/>
      <c r="XBF105" s="450"/>
      <c r="XBG105" s="450"/>
      <c r="XBH105" s="450"/>
      <c r="XBI105" s="450"/>
      <c r="XBJ105" s="450"/>
      <c r="XBK105" s="450"/>
      <c r="XBL105" s="450"/>
      <c r="XBM105" s="450"/>
      <c r="XBN105" s="450"/>
      <c r="XBO105" s="450"/>
      <c r="XBP105" s="450"/>
      <c r="XBQ105" s="450"/>
      <c r="XBR105" s="450"/>
      <c r="XBS105" s="450"/>
      <c r="XBT105" s="450"/>
      <c r="XBU105" s="450"/>
      <c r="XBV105" s="450"/>
      <c r="XBW105" s="450"/>
      <c r="XBX105" s="450"/>
      <c r="XBY105" s="450"/>
      <c r="XBZ105" s="450"/>
      <c r="XCA105" s="450"/>
      <c r="XCB105" s="450"/>
      <c r="XCC105" s="450"/>
      <c r="XCD105" s="450"/>
      <c r="XCE105" s="450"/>
      <c r="XCF105" s="450"/>
      <c r="XCG105" s="450"/>
      <c r="XCH105" s="450"/>
      <c r="XCI105" s="450"/>
      <c r="XCJ105" s="450"/>
      <c r="XCK105" s="450"/>
      <c r="XCL105" s="450"/>
      <c r="XCM105" s="450"/>
      <c r="XCN105" s="450"/>
      <c r="XCO105" s="450"/>
      <c r="XCP105" s="450"/>
      <c r="XCQ105" s="450"/>
      <c r="XCR105" s="450"/>
      <c r="XCS105" s="450"/>
      <c r="XCT105" s="450"/>
      <c r="XCU105" s="450"/>
      <c r="XCV105" s="450"/>
      <c r="XCW105" s="450"/>
      <c r="XCX105" s="450"/>
      <c r="XCY105" s="450"/>
      <c r="XCZ105" s="450"/>
      <c r="XDA105" s="450"/>
      <c r="XDB105" s="450"/>
      <c r="XDC105" s="450"/>
    </row>
    <row r="106" spans="1:16331" s="331" customFormat="1" ht="80.25" customHeight="1" x14ac:dyDescent="0.25">
      <c r="A106" s="257">
        <v>310</v>
      </c>
      <c r="B106" s="376" t="s">
        <v>326</v>
      </c>
      <c r="C106" s="257">
        <v>1</v>
      </c>
      <c r="D106" s="376" t="s">
        <v>105</v>
      </c>
      <c r="E106" s="257">
        <v>1</v>
      </c>
      <c r="F106" s="376" t="s">
        <v>112</v>
      </c>
      <c r="G106" s="257">
        <v>33</v>
      </c>
      <c r="H106" s="376" t="s">
        <v>123</v>
      </c>
      <c r="I106" s="257">
        <v>3301</v>
      </c>
      <c r="J106" s="376" t="s">
        <v>124</v>
      </c>
      <c r="K106" s="257">
        <v>3301087</v>
      </c>
      <c r="L106" s="376" t="s">
        <v>327</v>
      </c>
      <c r="M106" s="257">
        <v>330108701</v>
      </c>
      <c r="N106" s="388" t="s">
        <v>294</v>
      </c>
      <c r="O106" s="378" t="s">
        <v>67</v>
      </c>
      <c r="P106" s="302">
        <v>5750</v>
      </c>
      <c r="Q106" s="302">
        <v>1188</v>
      </c>
      <c r="R106" s="380">
        <v>2020003630021</v>
      </c>
      <c r="S106" s="445" t="s">
        <v>328</v>
      </c>
      <c r="T106" s="381"/>
      <c r="U106" s="381"/>
      <c r="V106" s="381"/>
      <c r="W106" s="381"/>
      <c r="X106" s="381"/>
      <c r="Y106" s="381"/>
      <c r="Z106" s="381"/>
      <c r="AA106" s="381"/>
      <c r="AB106" s="381"/>
      <c r="AC106" s="381"/>
      <c r="AD106" s="381"/>
      <c r="AE106" s="381"/>
      <c r="AF106" s="381"/>
      <c r="AG106" s="381"/>
      <c r="AH106" s="381"/>
      <c r="AI106" s="381"/>
      <c r="AJ106" s="381"/>
      <c r="AK106" s="381"/>
      <c r="AL106" s="400">
        <f>340000000-30000000-129300000</f>
        <v>180700000</v>
      </c>
      <c r="AM106" s="400">
        <v>180700000</v>
      </c>
      <c r="AN106" s="400">
        <v>178859941</v>
      </c>
      <c r="AO106" s="381">
        <f>130000000-110800000</f>
        <v>19200000</v>
      </c>
      <c r="AP106" s="381">
        <v>19200000</v>
      </c>
      <c r="AQ106" s="381">
        <v>12800000</v>
      </c>
      <c r="AR106" s="381"/>
      <c r="AS106" s="381"/>
      <c r="AT106" s="381"/>
      <c r="AU106" s="381">
        <f t="shared" si="3"/>
        <v>199900000</v>
      </c>
      <c r="AV106" s="381">
        <f t="shared" ref="AV106:AV123" si="6">SUM(U106,X106,AA106,AD106,AG106,AJ106,AM106,AP106,AS106)</f>
        <v>199900000</v>
      </c>
      <c r="AW106" s="381">
        <v>191659941</v>
      </c>
      <c r="AX106" s="392" t="s">
        <v>329</v>
      </c>
    </row>
    <row r="107" spans="1:16331" s="331" customFormat="1" ht="80.25" customHeight="1" x14ac:dyDescent="0.25">
      <c r="A107" s="257">
        <v>310</v>
      </c>
      <c r="B107" s="376" t="s">
        <v>326</v>
      </c>
      <c r="C107" s="257">
        <v>1</v>
      </c>
      <c r="D107" s="376" t="s">
        <v>105</v>
      </c>
      <c r="E107" s="257">
        <v>1</v>
      </c>
      <c r="F107" s="376" t="s">
        <v>112</v>
      </c>
      <c r="G107" s="257">
        <v>33</v>
      </c>
      <c r="H107" s="376" t="s">
        <v>123</v>
      </c>
      <c r="I107" s="257">
        <v>3301</v>
      </c>
      <c r="J107" s="376" t="s">
        <v>124</v>
      </c>
      <c r="K107" s="257">
        <v>3301085</v>
      </c>
      <c r="L107" s="376" t="s">
        <v>330</v>
      </c>
      <c r="M107" s="257" t="s">
        <v>331</v>
      </c>
      <c r="N107" s="388" t="s">
        <v>332</v>
      </c>
      <c r="O107" s="378" t="s">
        <v>67</v>
      </c>
      <c r="P107" s="302">
        <v>115000</v>
      </c>
      <c r="Q107" s="302">
        <v>41459</v>
      </c>
      <c r="R107" s="380">
        <v>2020003630020</v>
      </c>
      <c r="S107" s="445" t="s">
        <v>333</v>
      </c>
      <c r="T107" s="400">
        <f>217682000+181500232.59-265782232.59</f>
        <v>133400000.00000003</v>
      </c>
      <c r="U107" s="400">
        <v>133400000</v>
      </c>
      <c r="V107" s="400">
        <v>130340000</v>
      </c>
      <c r="W107" s="381"/>
      <c r="X107" s="381"/>
      <c r="Y107" s="381"/>
      <c r="Z107" s="381"/>
      <c r="AA107" s="381"/>
      <c r="AB107" s="381"/>
      <c r="AC107" s="381"/>
      <c r="AD107" s="381"/>
      <c r="AE107" s="381"/>
      <c r="AF107" s="381"/>
      <c r="AG107" s="381"/>
      <c r="AH107" s="381"/>
      <c r="AI107" s="381"/>
      <c r="AJ107" s="381"/>
      <c r="AK107" s="381"/>
      <c r="AL107" s="400">
        <f>260000000-72141029</f>
        <v>187858971</v>
      </c>
      <c r="AM107" s="400">
        <v>187858971</v>
      </c>
      <c r="AN107" s="400">
        <v>185358971</v>
      </c>
      <c r="AO107" s="381"/>
      <c r="AP107" s="381"/>
      <c r="AQ107" s="381"/>
      <c r="AR107" s="381"/>
      <c r="AS107" s="381"/>
      <c r="AT107" s="381"/>
      <c r="AU107" s="381">
        <f t="shared" si="3"/>
        <v>321258971</v>
      </c>
      <c r="AV107" s="381">
        <f t="shared" si="6"/>
        <v>321258971</v>
      </c>
      <c r="AW107" s="381">
        <f>SUM(V107,Y107,AB107,AE107,AH107,AK107,AN107,AQ107,AT107)</f>
        <v>315698971</v>
      </c>
      <c r="AX107" s="392" t="s">
        <v>329</v>
      </c>
    </row>
    <row r="108" spans="1:16331" s="331" customFormat="1" ht="80.25" customHeight="1" x14ac:dyDescent="0.25">
      <c r="A108" s="257">
        <v>310</v>
      </c>
      <c r="B108" s="376" t="s">
        <v>326</v>
      </c>
      <c r="C108" s="257">
        <v>1</v>
      </c>
      <c r="D108" s="376" t="s">
        <v>105</v>
      </c>
      <c r="E108" s="257">
        <v>1</v>
      </c>
      <c r="F108" s="376" t="s">
        <v>112</v>
      </c>
      <c r="G108" s="257">
        <v>33</v>
      </c>
      <c r="H108" s="376" t="s">
        <v>123</v>
      </c>
      <c r="I108" s="257">
        <v>3301</v>
      </c>
      <c r="J108" s="376" t="s">
        <v>124</v>
      </c>
      <c r="K108" s="257">
        <v>3301100</v>
      </c>
      <c r="L108" s="376" t="s">
        <v>334</v>
      </c>
      <c r="M108" s="258" t="s">
        <v>335</v>
      </c>
      <c r="N108" s="388" t="s">
        <v>336</v>
      </c>
      <c r="O108" s="378" t="s">
        <v>67</v>
      </c>
      <c r="P108" s="302">
        <v>10</v>
      </c>
      <c r="Q108" s="302">
        <v>0</v>
      </c>
      <c r="R108" s="380">
        <v>2020003630020</v>
      </c>
      <c r="S108" s="392" t="s">
        <v>333</v>
      </c>
      <c r="T108" s="400">
        <f>100000000-100000000</f>
        <v>0</v>
      </c>
      <c r="U108" s="400"/>
      <c r="V108" s="400"/>
      <c r="W108" s="381"/>
      <c r="X108" s="381"/>
      <c r="Y108" s="381"/>
      <c r="Z108" s="381"/>
      <c r="AA108" s="381"/>
      <c r="AB108" s="381"/>
      <c r="AC108" s="381"/>
      <c r="AD108" s="381"/>
      <c r="AE108" s="381"/>
      <c r="AF108" s="381"/>
      <c r="AG108" s="381"/>
      <c r="AH108" s="381"/>
      <c r="AI108" s="381"/>
      <c r="AJ108" s="381"/>
      <c r="AK108" s="381"/>
      <c r="AL108" s="381">
        <f>40000000-31200000</f>
        <v>8800000</v>
      </c>
      <c r="AM108" s="381">
        <v>8800000</v>
      </c>
      <c r="AN108" s="381">
        <v>8800000</v>
      </c>
      <c r="AO108" s="382"/>
      <c r="AP108" s="382"/>
      <c r="AQ108" s="382"/>
      <c r="AR108" s="382"/>
      <c r="AS108" s="382"/>
      <c r="AT108" s="382"/>
      <c r="AU108" s="381">
        <f t="shared" si="3"/>
        <v>8800000</v>
      </c>
      <c r="AV108" s="381">
        <f t="shared" si="6"/>
        <v>8800000</v>
      </c>
      <c r="AW108" s="381">
        <f>SUM(V108,Y108,AB108,AE108,AH108,AK108,AN108,AQ108,AT108)</f>
        <v>8800000</v>
      </c>
      <c r="AX108" s="392" t="s">
        <v>329</v>
      </c>
    </row>
    <row r="109" spans="1:16331" s="332" customFormat="1" ht="80.25" customHeight="1" x14ac:dyDescent="0.25">
      <c r="A109" s="259">
        <v>310</v>
      </c>
      <c r="B109" s="325" t="s">
        <v>326</v>
      </c>
      <c r="C109" s="259"/>
      <c r="D109" s="325"/>
      <c r="E109" s="259">
        <v>1</v>
      </c>
      <c r="F109" s="325" t="s">
        <v>112</v>
      </c>
      <c r="G109" s="259">
        <v>33</v>
      </c>
      <c r="H109" s="325" t="s">
        <v>123</v>
      </c>
      <c r="I109" s="259">
        <v>3301</v>
      </c>
      <c r="J109" s="385" t="s">
        <v>124</v>
      </c>
      <c r="K109" s="313">
        <v>3301087</v>
      </c>
      <c r="L109" s="393" t="s">
        <v>337</v>
      </c>
      <c r="M109" s="259">
        <v>330108701</v>
      </c>
      <c r="N109" s="393" t="s">
        <v>294</v>
      </c>
      <c r="O109" s="343" t="s">
        <v>67</v>
      </c>
      <c r="P109" s="303">
        <v>1000</v>
      </c>
      <c r="Q109" s="303">
        <v>1000</v>
      </c>
      <c r="R109" s="281">
        <v>2024003630050</v>
      </c>
      <c r="S109" s="435" t="s">
        <v>338</v>
      </c>
      <c r="T109" s="328"/>
      <c r="U109" s="328"/>
      <c r="V109" s="328"/>
      <c r="W109" s="328"/>
      <c r="X109" s="328"/>
      <c r="Y109" s="328"/>
      <c r="Z109" s="328"/>
      <c r="AA109" s="328"/>
      <c r="AB109" s="328"/>
      <c r="AC109" s="328"/>
      <c r="AD109" s="328"/>
      <c r="AE109" s="328"/>
      <c r="AF109" s="328"/>
      <c r="AG109" s="328"/>
      <c r="AH109" s="328"/>
      <c r="AI109" s="328"/>
      <c r="AJ109" s="328"/>
      <c r="AK109" s="328"/>
      <c r="AL109" s="404">
        <v>72414029</v>
      </c>
      <c r="AM109" s="404">
        <v>58867767.409999996</v>
      </c>
      <c r="AN109" s="404">
        <v>11300000</v>
      </c>
      <c r="AO109" s="328"/>
      <c r="AP109" s="328"/>
      <c r="AQ109" s="328"/>
      <c r="AR109" s="328"/>
      <c r="AS109" s="328"/>
      <c r="AT109" s="328"/>
      <c r="AU109" s="328">
        <f t="shared" si="3"/>
        <v>72414029</v>
      </c>
      <c r="AV109" s="328">
        <v>58867767.409999996</v>
      </c>
      <c r="AW109" s="328">
        <v>11300000</v>
      </c>
      <c r="AX109" s="385" t="s">
        <v>329</v>
      </c>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row>
    <row r="110" spans="1:16331" s="332" customFormat="1" ht="80.25" customHeight="1" x14ac:dyDescent="0.25">
      <c r="A110" s="259">
        <v>310</v>
      </c>
      <c r="B110" s="325" t="s">
        <v>326</v>
      </c>
      <c r="C110" s="259"/>
      <c r="D110" s="325"/>
      <c r="E110" s="259">
        <v>1</v>
      </c>
      <c r="F110" s="325" t="s">
        <v>112</v>
      </c>
      <c r="G110" s="259">
        <v>33</v>
      </c>
      <c r="H110" s="325" t="s">
        <v>123</v>
      </c>
      <c r="I110" s="259">
        <v>3301</v>
      </c>
      <c r="J110" s="385" t="s">
        <v>124</v>
      </c>
      <c r="K110" s="259">
        <v>3301085</v>
      </c>
      <c r="L110" s="393" t="s">
        <v>330</v>
      </c>
      <c r="M110" s="259">
        <v>330108500</v>
      </c>
      <c r="N110" s="393" t="s">
        <v>339</v>
      </c>
      <c r="O110" s="343" t="s">
        <v>67</v>
      </c>
      <c r="P110" s="303">
        <v>120000</v>
      </c>
      <c r="Q110" s="303">
        <v>83412</v>
      </c>
      <c r="R110" s="281">
        <v>2024003630050</v>
      </c>
      <c r="S110" s="435" t="s">
        <v>338</v>
      </c>
      <c r="T110" s="328">
        <f>113800232.59+51982000</f>
        <v>165782232.59</v>
      </c>
      <c r="U110" s="328">
        <v>132998825.59</v>
      </c>
      <c r="V110" s="328">
        <v>71816666</v>
      </c>
      <c r="W110" s="328"/>
      <c r="X110" s="328"/>
      <c r="Y110" s="328"/>
      <c r="Z110" s="328"/>
      <c r="AA110" s="328"/>
      <c r="AB110" s="328"/>
      <c r="AC110" s="328"/>
      <c r="AD110" s="328"/>
      <c r="AE110" s="328"/>
      <c r="AF110" s="328"/>
      <c r="AG110" s="328"/>
      <c r="AH110" s="328"/>
      <c r="AI110" s="328"/>
      <c r="AJ110" s="328"/>
      <c r="AK110" s="328"/>
      <c r="AL110" s="404">
        <v>0</v>
      </c>
      <c r="AM110" s="404"/>
      <c r="AN110" s="404"/>
      <c r="AO110" s="328"/>
      <c r="AP110" s="328"/>
      <c r="AQ110" s="328"/>
      <c r="AR110" s="328"/>
      <c r="AS110" s="328"/>
      <c r="AT110" s="328"/>
      <c r="AU110" s="328">
        <f t="shared" si="3"/>
        <v>165782232.59</v>
      </c>
      <c r="AV110" s="328">
        <f t="shared" si="6"/>
        <v>132998825.59</v>
      </c>
      <c r="AW110" s="328">
        <f t="shared" ref="AW110:AW123" si="7">SUM(V110,Y110,AB110,AE110,AH110,AK110,AN110,AQ110,AT110)</f>
        <v>71816666</v>
      </c>
      <c r="AX110" s="385" t="s">
        <v>329</v>
      </c>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row>
    <row r="111" spans="1:16331" s="332" customFormat="1" ht="80.25" customHeight="1" x14ac:dyDescent="0.25">
      <c r="A111" s="259">
        <v>310</v>
      </c>
      <c r="B111" s="325" t="s">
        <v>326</v>
      </c>
      <c r="C111" s="259"/>
      <c r="D111" s="325"/>
      <c r="E111" s="259">
        <v>1</v>
      </c>
      <c r="F111" s="325" t="s">
        <v>112</v>
      </c>
      <c r="G111" s="259">
        <v>33</v>
      </c>
      <c r="H111" s="325" t="s">
        <v>123</v>
      </c>
      <c r="I111" s="259">
        <v>3301</v>
      </c>
      <c r="J111" s="385" t="s">
        <v>124</v>
      </c>
      <c r="K111" s="259">
        <v>3301127</v>
      </c>
      <c r="L111" s="393" t="s">
        <v>340</v>
      </c>
      <c r="M111" s="259">
        <v>330112700</v>
      </c>
      <c r="N111" s="393" t="s">
        <v>341</v>
      </c>
      <c r="O111" s="343" t="s">
        <v>67</v>
      </c>
      <c r="P111" s="303">
        <v>3</v>
      </c>
      <c r="Q111" s="303">
        <v>0</v>
      </c>
      <c r="R111" s="281">
        <v>2024003630050</v>
      </c>
      <c r="S111" s="435" t="s">
        <v>338</v>
      </c>
      <c r="T111" s="328">
        <v>100000000</v>
      </c>
      <c r="U111" s="328">
        <v>0</v>
      </c>
      <c r="V111" s="328">
        <v>0</v>
      </c>
      <c r="W111" s="328"/>
      <c r="X111" s="328"/>
      <c r="Y111" s="328"/>
      <c r="Z111" s="328"/>
      <c r="AA111" s="328"/>
      <c r="AB111" s="328"/>
      <c r="AC111" s="328"/>
      <c r="AD111" s="328"/>
      <c r="AE111" s="328"/>
      <c r="AF111" s="328"/>
      <c r="AG111" s="328"/>
      <c r="AH111" s="328"/>
      <c r="AI111" s="328"/>
      <c r="AJ111" s="328"/>
      <c r="AK111" s="328"/>
      <c r="AL111" s="404"/>
      <c r="AM111" s="404"/>
      <c r="AN111" s="404"/>
      <c r="AO111" s="328"/>
      <c r="AP111" s="328"/>
      <c r="AQ111" s="328"/>
      <c r="AR111" s="328"/>
      <c r="AS111" s="328"/>
      <c r="AT111" s="328"/>
      <c r="AU111" s="328">
        <f t="shared" si="3"/>
        <v>100000000</v>
      </c>
      <c r="AV111" s="328">
        <f t="shared" si="6"/>
        <v>0</v>
      </c>
      <c r="AW111" s="328">
        <f t="shared" si="7"/>
        <v>0</v>
      </c>
      <c r="AX111" s="385" t="s">
        <v>329</v>
      </c>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row>
    <row r="112" spans="1:16331" s="332" customFormat="1" ht="80.25" customHeight="1" x14ac:dyDescent="0.25">
      <c r="A112" s="259">
        <v>310</v>
      </c>
      <c r="B112" s="325" t="s">
        <v>326</v>
      </c>
      <c r="C112" s="259"/>
      <c r="D112" s="325"/>
      <c r="E112" s="259">
        <v>1</v>
      </c>
      <c r="F112" s="325" t="s">
        <v>112</v>
      </c>
      <c r="G112" s="259">
        <v>33</v>
      </c>
      <c r="H112" s="325" t="s">
        <v>123</v>
      </c>
      <c r="I112" s="259">
        <v>3301</v>
      </c>
      <c r="J112" s="385" t="s">
        <v>124</v>
      </c>
      <c r="K112" s="281">
        <v>3301100</v>
      </c>
      <c r="L112" s="393" t="s">
        <v>334</v>
      </c>
      <c r="M112" s="259">
        <v>330110000</v>
      </c>
      <c r="N112" s="393" t="s">
        <v>342</v>
      </c>
      <c r="O112" s="343" t="s">
        <v>67</v>
      </c>
      <c r="P112" s="303">
        <v>10</v>
      </c>
      <c r="Q112" s="303">
        <v>0</v>
      </c>
      <c r="R112" s="281">
        <v>2024003630050</v>
      </c>
      <c r="S112" s="435" t="s">
        <v>338</v>
      </c>
      <c r="T112" s="328">
        <v>100000000</v>
      </c>
      <c r="U112" s="328"/>
      <c r="V112" s="328"/>
      <c r="W112" s="328"/>
      <c r="X112" s="328"/>
      <c r="Y112" s="328"/>
      <c r="Z112" s="328"/>
      <c r="AA112" s="328"/>
      <c r="AB112" s="328"/>
      <c r="AC112" s="328"/>
      <c r="AD112" s="328"/>
      <c r="AE112" s="328"/>
      <c r="AF112" s="328"/>
      <c r="AG112" s="328"/>
      <c r="AH112" s="328"/>
      <c r="AI112" s="328"/>
      <c r="AJ112" s="328"/>
      <c r="AK112" s="328"/>
      <c r="AL112" s="404">
        <v>31200000</v>
      </c>
      <c r="AM112" s="404">
        <v>9650000</v>
      </c>
      <c r="AN112" s="404">
        <v>2700000</v>
      </c>
      <c r="AO112" s="328"/>
      <c r="AP112" s="328"/>
      <c r="AQ112" s="328"/>
      <c r="AR112" s="328"/>
      <c r="AS112" s="328"/>
      <c r="AT112" s="328"/>
      <c r="AU112" s="328">
        <f t="shared" si="3"/>
        <v>131200000</v>
      </c>
      <c r="AV112" s="328">
        <f t="shared" si="6"/>
        <v>9650000</v>
      </c>
      <c r="AW112" s="328">
        <f t="shared" si="7"/>
        <v>2700000</v>
      </c>
      <c r="AX112" s="385" t="s">
        <v>329</v>
      </c>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row>
    <row r="113" spans="1:129" s="331" customFormat="1" ht="80.25" customHeight="1" x14ac:dyDescent="0.25">
      <c r="A113" s="257">
        <v>310</v>
      </c>
      <c r="B113" s="376" t="s">
        <v>326</v>
      </c>
      <c r="C113" s="257">
        <v>1</v>
      </c>
      <c r="D113" s="376" t="s">
        <v>105</v>
      </c>
      <c r="E113" s="257">
        <v>1</v>
      </c>
      <c r="F113" s="376" t="s">
        <v>112</v>
      </c>
      <c r="G113" s="257">
        <v>33</v>
      </c>
      <c r="H113" s="376" t="s">
        <v>123</v>
      </c>
      <c r="I113" s="257">
        <v>3301</v>
      </c>
      <c r="J113" s="376" t="s">
        <v>124</v>
      </c>
      <c r="K113" s="257">
        <v>3301073</v>
      </c>
      <c r="L113" s="376" t="s">
        <v>343</v>
      </c>
      <c r="M113" s="292">
        <v>330107301</v>
      </c>
      <c r="N113" s="453" t="s">
        <v>344</v>
      </c>
      <c r="O113" s="378" t="s">
        <v>67</v>
      </c>
      <c r="P113" s="280">
        <v>550</v>
      </c>
      <c r="Q113" s="280">
        <v>224</v>
      </c>
      <c r="R113" s="380">
        <v>2020003630021</v>
      </c>
      <c r="S113" s="445" t="s">
        <v>328</v>
      </c>
      <c r="T113" s="381">
        <f>1906093000+751727382.73-186339332.33</f>
        <v>2471481050.4000001</v>
      </c>
      <c r="U113" s="381">
        <v>2294258837.9000001</v>
      </c>
      <c r="V113" s="381">
        <v>1580699500.9000001</v>
      </c>
      <c r="W113" s="381"/>
      <c r="X113" s="381"/>
      <c r="Y113" s="381"/>
      <c r="Z113" s="381"/>
      <c r="AA113" s="381"/>
      <c r="AB113" s="381"/>
      <c r="AC113" s="381"/>
      <c r="AD113" s="381"/>
      <c r="AE113" s="381"/>
      <c r="AF113" s="381"/>
      <c r="AG113" s="381"/>
      <c r="AH113" s="381"/>
      <c r="AI113" s="381"/>
      <c r="AJ113" s="381"/>
      <c r="AK113" s="381"/>
      <c r="AL113" s="400">
        <f>242593784.2+858000000+250000000-952386501.6</f>
        <v>398207282.60000002</v>
      </c>
      <c r="AM113" s="400">
        <v>282500000</v>
      </c>
      <c r="AN113" s="400">
        <v>282095800</v>
      </c>
      <c r="AO113" s="381">
        <f>120000000-107200000</f>
        <v>12800000</v>
      </c>
      <c r="AP113" s="381">
        <v>12800000</v>
      </c>
      <c r="AQ113" s="381">
        <v>12800000</v>
      </c>
      <c r="AR113" s="381"/>
      <c r="AS113" s="381"/>
      <c r="AT113" s="381"/>
      <c r="AU113" s="381">
        <f t="shared" si="3"/>
        <v>2882488333</v>
      </c>
      <c r="AV113" s="381">
        <f t="shared" si="6"/>
        <v>2589558837.9000001</v>
      </c>
      <c r="AW113" s="381">
        <f t="shared" si="7"/>
        <v>1875595300.9000001</v>
      </c>
      <c r="AX113" s="392" t="s">
        <v>329</v>
      </c>
    </row>
    <row r="114" spans="1:129" s="332" customFormat="1" ht="80.25" customHeight="1" x14ac:dyDescent="0.25">
      <c r="A114" s="259">
        <v>310</v>
      </c>
      <c r="B114" s="325" t="s">
        <v>326</v>
      </c>
      <c r="C114" s="259"/>
      <c r="D114" s="325"/>
      <c r="E114" s="259">
        <v>1</v>
      </c>
      <c r="F114" s="325" t="s">
        <v>112</v>
      </c>
      <c r="G114" s="259">
        <v>33</v>
      </c>
      <c r="H114" s="325" t="s">
        <v>123</v>
      </c>
      <c r="I114" s="259">
        <v>3301</v>
      </c>
      <c r="J114" s="385" t="s">
        <v>124</v>
      </c>
      <c r="K114" s="313">
        <v>3301073</v>
      </c>
      <c r="L114" s="393" t="s">
        <v>345</v>
      </c>
      <c r="M114" s="393">
        <v>330107300</v>
      </c>
      <c r="N114" s="393" t="s">
        <v>346</v>
      </c>
      <c r="O114" s="343" t="s">
        <v>67</v>
      </c>
      <c r="P114" s="272">
        <v>840</v>
      </c>
      <c r="Q114" s="272">
        <v>649</v>
      </c>
      <c r="R114" s="281">
        <v>2024003630051</v>
      </c>
      <c r="S114" s="435" t="s">
        <v>347</v>
      </c>
      <c r="T114" s="328"/>
      <c r="U114" s="328"/>
      <c r="V114" s="328"/>
      <c r="W114" s="328"/>
      <c r="X114" s="328"/>
      <c r="Y114" s="328"/>
      <c r="Z114" s="328"/>
      <c r="AA114" s="328"/>
      <c r="AB114" s="328"/>
      <c r="AC114" s="328"/>
      <c r="AD114" s="328"/>
      <c r="AE114" s="328"/>
      <c r="AF114" s="328"/>
      <c r="AG114" s="328"/>
      <c r="AH114" s="328"/>
      <c r="AI114" s="328"/>
      <c r="AJ114" s="328"/>
      <c r="AK114" s="328"/>
      <c r="AL114" s="404">
        <v>259270784.19999999</v>
      </c>
      <c r="AM114" s="404">
        <v>177223575</v>
      </c>
      <c r="AN114" s="404">
        <v>35830000</v>
      </c>
      <c r="AO114" s="328">
        <v>107200000</v>
      </c>
      <c r="AP114" s="328">
        <v>62208333</v>
      </c>
      <c r="AQ114" s="328">
        <v>20640000</v>
      </c>
      <c r="AR114" s="328"/>
      <c r="AS114" s="328"/>
      <c r="AT114" s="328"/>
      <c r="AU114" s="328">
        <f t="shared" si="3"/>
        <v>366470784.19999999</v>
      </c>
      <c r="AV114" s="328">
        <f t="shared" si="6"/>
        <v>239431908</v>
      </c>
      <c r="AW114" s="328">
        <f t="shared" si="7"/>
        <v>56470000</v>
      </c>
      <c r="AX114" s="385" t="s">
        <v>329</v>
      </c>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row>
    <row r="115" spans="1:129" s="332" customFormat="1" ht="80.25" customHeight="1" x14ac:dyDescent="0.25">
      <c r="A115" s="259">
        <v>310</v>
      </c>
      <c r="B115" s="325" t="s">
        <v>326</v>
      </c>
      <c r="C115" s="259"/>
      <c r="D115" s="325"/>
      <c r="E115" s="259">
        <v>1</v>
      </c>
      <c r="F115" s="325" t="s">
        <v>112</v>
      </c>
      <c r="G115" s="259">
        <v>33</v>
      </c>
      <c r="H115" s="325" t="s">
        <v>123</v>
      </c>
      <c r="I115" s="259">
        <v>3301</v>
      </c>
      <c r="J115" s="385" t="s">
        <v>124</v>
      </c>
      <c r="K115" s="259">
        <v>3301053</v>
      </c>
      <c r="L115" s="393" t="s">
        <v>348</v>
      </c>
      <c r="M115" s="259">
        <v>330105300</v>
      </c>
      <c r="N115" s="393" t="s">
        <v>349</v>
      </c>
      <c r="O115" s="343" t="s">
        <v>67</v>
      </c>
      <c r="P115" s="272">
        <v>100</v>
      </c>
      <c r="Q115" s="272">
        <v>70</v>
      </c>
      <c r="R115" s="281">
        <v>2024003630051</v>
      </c>
      <c r="S115" s="435" t="s">
        <v>347</v>
      </c>
      <c r="T115" s="328"/>
      <c r="U115" s="328"/>
      <c r="V115" s="328"/>
      <c r="W115" s="328"/>
      <c r="X115" s="328"/>
      <c r="Y115" s="328"/>
      <c r="Z115" s="328"/>
      <c r="AA115" s="328"/>
      <c r="AB115" s="328"/>
      <c r="AC115" s="328"/>
      <c r="AD115" s="328"/>
      <c r="AE115" s="328"/>
      <c r="AF115" s="328"/>
      <c r="AG115" s="328"/>
      <c r="AH115" s="328"/>
      <c r="AI115" s="328"/>
      <c r="AJ115" s="328"/>
      <c r="AK115" s="328"/>
      <c r="AL115" s="404">
        <v>513392717.39999998</v>
      </c>
      <c r="AM115" s="404">
        <v>315909982.33999997</v>
      </c>
      <c r="AN115" s="404">
        <v>80700000</v>
      </c>
      <c r="AO115" s="328"/>
      <c r="AP115" s="328"/>
      <c r="AQ115" s="328"/>
      <c r="AR115" s="328"/>
      <c r="AS115" s="328"/>
      <c r="AT115" s="328"/>
      <c r="AU115" s="328">
        <f t="shared" si="3"/>
        <v>513392717.39999998</v>
      </c>
      <c r="AV115" s="328">
        <f t="shared" si="6"/>
        <v>315909982.33999997</v>
      </c>
      <c r="AW115" s="328">
        <f t="shared" si="7"/>
        <v>80700000</v>
      </c>
      <c r="AX115" s="385" t="s">
        <v>329</v>
      </c>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row>
    <row r="116" spans="1:129" s="332" customFormat="1" ht="80.25" customHeight="1" x14ac:dyDescent="0.25">
      <c r="A116" s="259">
        <v>310</v>
      </c>
      <c r="B116" s="325" t="s">
        <v>326</v>
      </c>
      <c r="C116" s="259"/>
      <c r="D116" s="325"/>
      <c r="E116" s="259">
        <v>1</v>
      </c>
      <c r="F116" s="325" t="s">
        <v>112</v>
      </c>
      <c r="G116" s="259">
        <v>33</v>
      </c>
      <c r="H116" s="325" t="s">
        <v>123</v>
      </c>
      <c r="I116" s="259">
        <v>3301</v>
      </c>
      <c r="J116" s="385" t="s">
        <v>124</v>
      </c>
      <c r="K116" s="282">
        <v>3301051</v>
      </c>
      <c r="L116" s="393" t="s">
        <v>350</v>
      </c>
      <c r="M116" s="259">
        <v>330105100</v>
      </c>
      <c r="N116" s="393" t="s">
        <v>294</v>
      </c>
      <c r="O116" s="343" t="s">
        <v>67</v>
      </c>
      <c r="P116" s="303">
        <v>6480</v>
      </c>
      <c r="Q116" s="272">
        <v>2615</v>
      </c>
      <c r="R116" s="281">
        <v>2024003630051</v>
      </c>
      <c r="S116" s="435" t="s">
        <v>347</v>
      </c>
      <c r="T116" s="328"/>
      <c r="U116" s="328"/>
      <c r="V116" s="328"/>
      <c r="W116" s="328"/>
      <c r="X116" s="328"/>
      <c r="Y116" s="328"/>
      <c r="Z116" s="328"/>
      <c r="AA116" s="328"/>
      <c r="AB116" s="328"/>
      <c r="AC116" s="328"/>
      <c r="AD116" s="328"/>
      <c r="AE116" s="328"/>
      <c r="AF116" s="328"/>
      <c r="AG116" s="328"/>
      <c r="AH116" s="328"/>
      <c r="AI116" s="328"/>
      <c r="AJ116" s="328"/>
      <c r="AK116" s="328"/>
      <c r="AL116" s="404">
        <v>20000000</v>
      </c>
      <c r="AM116" s="404">
        <v>0</v>
      </c>
      <c r="AN116" s="404">
        <v>0</v>
      </c>
      <c r="AO116" s="328"/>
      <c r="AP116" s="328"/>
      <c r="AQ116" s="328"/>
      <c r="AR116" s="328"/>
      <c r="AS116" s="328"/>
      <c r="AT116" s="328"/>
      <c r="AU116" s="328">
        <f t="shared" si="3"/>
        <v>20000000</v>
      </c>
      <c r="AV116" s="328">
        <f t="shared" si="6"/>
        <v>0</v>
      </c>
      <c r="AW116" s="328">
        <f t="shared" si="7"/>
        <v>0</v>
      </c>
      <c r="AX116" s="385" t="s">
        <v>329</v>
      </c>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row>
    <row r="117" spans="1:129" s="332" customFormat="1" ht="80.25" customHeight="1" x14ac:dyDescent="0.25">
      <c r="A117" s="259">
        <v>310</v>
      </c>
      <c r="B117" s="325" t="s">
        <v>326</v>
      </c>
      <c r="C117" s="259"/>
      <c r="D117" s="325"/>
      <c r="E117" s="259">
        <v>1</v>
      </c>
      <c r="F117" s="325" t="s">
        <v>112</v>
      </c>
      <c r="G117" s="259">
        <v>33</v>
      </c>
      <c r="H117" s="325" t="s">
        <v>123</v>
      </c>
      <c r="I117" s="259">
        <v>3301</v>
      </c>
      <c r="J117" s="385" t="s">
        <v>124</v>
      </c>
      <c r="K117" s="281">
        <v>3301087</v>
      </c>
      <c r="L117" s="393" t="s">
        <v>327</v>
      </c>
      <c r="M117" s="259">
        <v>330108701</v>
      </c>
      <c r="N117" s="393" t="s">
        <v>351</v>
      </c>
      <c r="O117" s="343" t="s">
        <v>67</v>
      </c>
      <c r="P117" s="303">
        <v>5240</v>
      </c>
      <c r="Q117" s="303">
        <v>4131</v>
      </c>
      <c r="R117" s="281">
        <v>2024003630051</v>
      </c>
      <c r="S117" s="435" t="s">
        <v>347</v>
      </c>
      <c r="T117" s="328"/>
      <c r="U117" s="328"/>
      <c r="V117" s="328"/>
      <c r="W117" s="328"/>
      <c r="X117" s="328"/>
      <c r="Y117" s="328"/>
      <c r="Z117" s="328"/>
      <c r="AA117" s="328"/>
      <c r="AB117" s="328"/>
      <c r="AC117" s="328"/>
      <c r="AD117" s="328"/>
      <c r="AE117" s="328"/>
      <c r="AF117" s="328"/>
      <c r="AG117" s="328"/>
      <c r="AH117" s="328"/>
      <c r="AI117" s="328"/>
      <c r="AJ117" s="328"/>
      <c r="AK117" s="328"/>
      <c r="AL117" s="404">
        <v>129300000</v>
      </c>
      <c r="AM117" s="404">
        <v>121028640</v>
      </c>
      <c r="AN117" s="404">
        <v>27720000</v>
      </c>
      <c r="AO117" s="328">
        <v>110800000</v>
      </c>
      <c r="AP117" s="328">
        <v>95923330.329999998</v>
      </c>
      <c r="AQ117" s="328">
        <v>41060000</v>
      </c>
      <c r="AR117" s="328"/>
      <c r="AS117" s="328"/>
      <c r="AT117" s="328"/>
      <c r="AU117" s="328">
        <f t="shared" si="3"/>
        <v>240100000</v>
      </c>
      <c r="AV117" s="328">
        <f t="shared" si="6"/>
        <v>216951970.32999998</v>
      </c>
      <c r="AW117" s="328">
        <f t="shared" si="7"/>
        <v>68780000</v>
      </c>
      <c r="AX117" s="385" t="s">
        <v>329</v>
      </c>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row>
    <row r="118" spans="1:129" s="332" customFormat="1" ht="80.25" customHeight="1" x14ac:dyDescent="0.25">
      <c r="A118" s="259">
        <v>310</v>
      </c>
      <c r="B118" s="325" t="s">
        <v>326</v>
      </c>
      <c r="C118" s="259"/>
      <c r="D118" s="325"/>
      <c r="E118" s="259">
        <v>1</v>
      </c>
      <c r="F118" s="325" t="s">
        <v>112</v>
      </c>
      <c r="G118" s="259">
        <v>33</v>
      </c>
      <c r="H118" s="325" t="s">
        <v>123</v>
      </c>
      <c r="I118" s="259">
        <v>3301</v>
      </c>
      <c r="J118" s="385" t="s">
        <v>124</v>
      </c>
      <c r="K118" s="257">
        <v>3301054</v>
      </c>
      <c r="L118" s="393" t="s">
        <v>352</v>
      </c>
      <c r="M118" s="259">
        <v>330105400</v>
      </c>
      <c r="N118" s="393" t="s">
        <v>353</v>
      </c>
      <c r="O118" s="343" t="s">
        <v>67</v>
      </c>
      <c r="P118" s="303">
        <v>15</v>
      </c>
      <c r="Q118" s="303">
        <v>0</v>
      </c>
      <c r="R118" s="281">
        <v>2024003630051</v>
      </c>
      <c r="S118" s="435" t="s">
        <v>347</v>
      </c>
      <c r="T118" s="328">
        <f>6199932.33+175139400+5000000+317682000+139198689.57</f>
        <v>643220021.9000001</v>
      </c>
      <c r="U118" s="328">
        <v>112516666.33</v>
      </c>
      <c r="V118" s="328">
        <v>45600000</v>
      </c>
      <c r="W118" s="328"/>
      <c r="X118" s="328"/>
      <c r="Y118" s="328"/>
      <c r="Z118" s="328"/>
      <c r="AA118" s="328"/>
      <c r="AB118" s="328"/>
      <c r="AC118" s="328"/>
      <c r="AD118" s="328"/>
      <c r="AE118" s="328"/>
      <c r="AF118" s="328"/>
      <c r="AG118" s="328"/>
      <c r="AH118" s="328"/>
      <c r="AI118" s="328"/>
      <c r="AJ118" s="328"/>
      <c r="AK118" s="328"/>
      <c r="AL118" s="404"/>
      <c r="AM118" s="404"/>
      <c r="AN118" s="404"/>
      <c r="AO118" s="328"/>
      <c r="AP118" s="328"/>
      <c r="AQ118" s="328"/>
      <c r="AR118" s="328"/>
      <c r="AS118" s="328"/>
      <c r="AT118" s="328"/>
      <c r="AU118" s="328">
        <f t="shared" si="3"/>
        <v>643220021.9000001</v>
      </c>
      <c r="AV118" s="328">
        <f t="shared" si="6"/>
        <v>112516666.33</v>
      </c>
      <c r="AW118" s="328">
        <f t="shared" si="7"/>
        <v>45600000</v>
      </c>
      <c r="AX118" s="385" t="s">
        <v>329</v>
      </c>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row>
    <row r="119" spans="1:129" s="331" customFormat="1" ht="80.25" customHeight="1" x14ac:dyDescent="0.25">
      <c r="A119" s="257">
        <v>310</v>
      </c>
      <c r="B119" s="376" t="s">
        <v>326</v>
      </c>
      <c r="C119" s="257">
        <v>1</v>
      </c>
      <c r="D119" s="376" t="s">
        <v>105</v>
      </c>
      <c r="E119" s="257">
        <v>1</v>
      </c>
      <c r="F119" s="376" t="s">
        <v>112</v>
      </c>
      <c r="G119" s="257">
        <v>33</v>
      </c>
      <c r="H119" s="376" t="s">
        <v>123</v>
      </c>
      <c r="I119" s="257">
        <v>3301</v>
      </c>
      <c r="J119" s="376" t="s">
        <v>124</v>
      </c>
      <c r="K119" s="313">
        <v>3301070</v>
      </c>
      <c r="L119" s="376" t="s">
        <v>354</v>
      </c>
      <c r="M119" s="257">
        <v>330107000</v>
      </c>
      <c r="N119" s="388" t="s">
        <v>66</v>
      </c>
      <c r="O119" s="378" t="s">
        <v>67</v>
      </c>
      <c r="P119" s="280">
        <v>0.3</v>
      </c>
      <c r="Q119" s="280">
        <v>0.2</v>
      </c>
      <c r="R119" s="380">
        <v>2020003630021</v>
      </c>
      <c r="S119" s="445" t="s">
        <v>328</v>
      </c>
      <c r="T119" s="400"/>
      <c r="U119" s="400"/>
      <c r="V119" s="400"/>
      <c r="W119" s="381"/>
      <c r="X119" s="381"/>
      <c r="Y119" s="381"/>
      <c r="Z119" s="381"/>
      <c r="AA119" s="381"/>
      <c r="AB119" s="381"/>
      <c r="AC119" s="381"/>
      <c r="AD119" s="381"/>
      <c r="AE119" s="381"/>
      <c r="AF119" s="381"/>
      <c r="AG119" s="381"/>
      <c r="AH119" s="381"/>
      <c r="AI119" s="381"/>
      <c r="AJ119" s="381"/>
      <c r="AK119" s="381"/>
      <c r="AL119" s="400">
        <f>30000000-2550000</f>
        <v>27450000</v>
      </c>
      <c r="AM119" s="400">
        <v>27450000</v>
      </c>
      <c r="AN119" s="400">
        <v>27450000</v>
      </c>
      <c r="AO119" s="381"/>
      <c r="AP119" s="381"/>
      <c r="AQ119" s="381"/>
      <c r="AR119" s="381"/>
      <c r="AS119" s="381"/>
      <c r="AT119" s="381"/>
      <c r="AU119" s="381">
        <f t="shared" si="3"/>
        <v>27450000</v>
      </c>
      <c r="AV119" s="381">
        <f t="shared" si="6"/>
        <v>27450000</v>
      </c>
      <c r="AW119" s="381">
        <f t="shared" si="7"/>
        <v>27450000</v>
      </c>
      <c r="AX119" s="392" t="s">
        <v>329</v>
      </c>
    </row>
    <row r="120" spans="1:129" s="332" customFormat="1" ht="80.25" customHeight="1" x14ac:dyDescent="0.25">
      <c r="A120" s="259">
        <v>310</v>
      </c>
      <c r="B120" s="325" t="s">
        <v>326</v>
      </c>
      <c r="C120" s="259"/>
      <c r="D120" s="325"/>
      <c r="E120" s="259">
        <v>1</v>
      </c>
      <c r="F120" s="325" t="s">
        <v>112</v>
      </c>
      <c r="G120" s="259">
        <v>33</v>
      </c>
      <c r="H120" s="325" t="s">
        <v>123</v>
      </c>
      <c r="I120" s="259">
        <v>3301</v>
      </c>
      <c r="J120" s="385" t="s">
        <v>124</v>
      </c>
      <c r="K120" s="257">
        <v>3301070</v>
      </c>
      <c r="L120" s="393" t="s">
        <v>355</v>
      </c>
      <c r="M120" s="259">
        <v>330107000</v>
      </c>
      <c r="N120" s="393" t="s">
        <v>356</v>
      </c>
      <c r="O120" s="343" t="s">
        <v>67</v>
      </c>
      <c r="P120" s="272">
        <v>0.5</v>
      </c>
      <c r="Q120" s="272">
        <v>0.02</v>
      </c>
      <c r="R120" s="281">
        <v>2024003630049</v>
      </c>
      <c r="S120" s="435" t="s">
        <v>357</v>
      </c>
      <c r="T120" s="404"/>
      <c r="U120" s="404"/>
      <c r="V120" s="404"/>
      <c r="W120" s="328"/>
      <c r="X120" s="328"/>
      <c r="Y120" s="328"/>
      <c r="Z120" s="343"/>
      <c r="AA120" s="343"/>
      <c r="AB120" s="343"/>
      <c r="AC120" s="328"/>
      <c r="AD120" s="328"/>
      <c r="AE120" s="328"/>
      <c r="AF120" s="328"/>
      <c r="AG120" s="328"/>
      <c r="AH120" s="328"/>
      <c r="AI120" s="328"/>
      <c r="AJ120" s="328"/>
      <c r="AK120" s="328"/>
      <c r="AL120" s="328">
        <v>30000000</v>
      </c>
      <c r="AM120" s="328">
        <v>0</v>
      </c>
      <c r="AN120" s="328">
        <v>0</v>
      </c>
      <c r="AO120" s="343"/>
      <c r="AP120" s="343"/>
      <c r="AQ120" s="343"/>
      <c r="AR120" s="343"/>
      <c r="AS120" s="343"/>
      <c r="AT120" s="343"/>
      <c r="AU120" s="328">
        <f t="shared" si="3"/>
        <v>30000000</v>
      </c>
      <c r="AV120" s="328">
        <f t="shared" si="6"/>
        <v>0</v>
      </c>
      <c r="AW120" s="328">
        <f t="shared" si="7"/>
        <v>0</v>
      </c>
      <c r="AX120" s="385" t="s">
        <v>329</v>
      </c>
      <c r="AY120" s="331"/>
      <c r="AZ120" s="331"/>
      <c r="BA120" s="331"/>
      <c r="BB120" s="331"/>
      <c r="BC120" s="331"/>
      <c r="BD120" s="331"/>
      <c r="BE120" s="331"/>
      <c r="BF120" s="331"/>
      <c r="BG120" s="331"/>
      <c r="BH120" s="331"/>
      <c r="BI120" s="331"/>
      <c r="BJ120" s="331"/>
      <c r="BK120" s="331"/>
      <c r="BL120" s="331"/>
      <c r="BM120" s="331"/>
      <c r="BN120" s="331"/>
      <c r="BO120" s="331"/>
      <c r="BP120" s="331"/>
      <c r="BQ120" s="331"/>
      <c r="BR120" s="331"/>
      <c r="BS120" s="331"/>
      <c r="BT120" s="331"/>
      <c r="BU120" s="331"/>
      <c r="BV120" s="331"/>
      <c r="BW120" s="331"/>
      <c r="BX120" s="331"/>
      <c r="BY120" s="331"/>
      <c r="BZ120" s="331"/>
      <c r="CA120" s="331"/>
      <c r="CB120" s="331"/>
      <c r="CC120" s="331"/>
      <c r="CD120" s="331"/>
      <c r="CE120" s="331"/>
      <c r="CF120" s="331"/>
      <c r="CG120" s="331"/>
      <c r="CH120" s="331"/>
      <c r="CI120" s="331"/>
      <c r="CJ120" s="331"/>
      <c r="CK120" s="331"/>
      <c r="CL120" s="331"/>
      <c r="CM120" s="331"/>
      <c r="CN120" s="331"/>
      <c r="CO120" s="331"/>
      <c r="CP120" s="331"/>
      <c r="CQ120" s="331"/>
      <c r="CR120" s="331"/>
      <c r="CS120" s="331"/>
      <c r="CT120" s="331"/>
      <c r="CU120" s="331"/>
      <c r="CV120" s="331"/>
      <c r="CW120" s="331"/>
      <c r="CX120" s="331"/>
      <c r="CY120" s="331"/>
      <c r="CZ120" s="331"/>
      <c r="DA120" s="331"/>
      <c r="DB120" s="331"/>
      <c r="DC120" s="331"/>
      <c r="DD120" s="331"/>
      <c r="DE120" s="331"/>
      <c r="DF120" s="331"/>
      <c r="DG120" s="331"/>
      <c r="DH120" s="331"/>
      <c r="DI120" s="331"/>
      <c r="DJ120" s="331"/>
      <c r="DK120" s="331"/>
      <c r="DL120" s="331"/>
      <c r="DM120" s="331"/>
      <c r="DN120" s="331"/>
      <c r="DO120" s="331"/>
      <c r="DP120" s="331"/>
      <c r="DQ120" s="331"/>
      <c r="DR120" s="331"/>
      <c r="DS120" s="331"/>
      <c r="DT120" s="331"/>
      <c r="DU120" s="331"/>
      <c r="DV120" s="331"/>
      <c r="DW120" s="331"/>
      <c r="DX120" s="331"/>
      <c r="DY120" s="331"/>
    </row>
    <row r="121" spans="1:129" s="332" customFormat="1" ht="80.25" customHeight="1" x14ac:dyDescent="0.25">
      <c r="A121" s="259">
        <v>310</v>
      </c>
      <c r="B121" s="325" t="s">
        <v>326</v>
      </c>
      <c r="C121" s="259"/>
      <c r="D121" s="325"/>
      <c r="E121" s="259">
        <v>1</v>
      </c>
      <c r="F121" s="325" t="s">
        <v>112</v>
      </c>
      <c r="G121" s="259">
        <v>33</v>
      </c>
      <c r="H121" s="325" t="s">
        <v>123</v>
      </c>
      <c r="I121" s="259">
        <v>3301</v>
      </c>
      <c r="J121" s="385" t="s">
        <v>124</v>
      </c>
      <c r="K121" s="282">
        <v>3301099</v>
      </c>
      <c r="L121" s="393" t="s">
        <v>358</v>
      </c>
      <c r="M121" s="259">
        <v>330109900</v>
      </c>
      <c r="N121" s="393" t="s">
        <v>359</v>
      </c>
      <c r="O121" s="343" t="s">
        <v>67</v>
      </c>
      <c r="P121" s="272">
        <v>0.25</v>
      </c>
      <c r="Q121" s="272">
        <v>5.0000000000000001E-3</v>
      </c>
      <c r="R121" s="402">
        <v>2024003630049</v>
      </c>
      <c r="S121" s="435" t="s">
        <v>357</v>
      </c>
      <c r="T121" s="404"/>
      <c r="U121" s="404"/>
      <c r="V121" s="404"/>
      <c r="W121" s="328"/>
      <c r="X121" s="328"/>
      <c r="Y121" s="328"/>
      <c r="Z121" s="343"/>
      <c r="AA121" s="343"/>
      <c r="AB121" s="343"/>
      <c r="AC121" s="328"/>
      <c r="AD121" s="328"/>
      <c r="AE121" s="328"/>
      <c r="AF121" s="328"/>
      <c r="AG121" s="328"/>
      <c r="AH121" s="328"/>
      <c r="AI121" s="328"/>
      <c r="AJ121" s="328"/>
      <c r="AK121" s="328"/>
      <c r="AL121" s="328">
        <v>80000000</v>
      </c>
      <c r="AM121" s="328">
        <v>12200000</v>
      </c>
      <c r="AN121" s="328">
        <v>0</v>
      </c>
      <c r="AO121" s="343"/>
      <c r="AP121" s="343"/>
      <c r="AQ121" s="343"/>
      <c r="AR121" s="343"/>
      <c r="AS121" s="343"/>
      <c r="AT121" s="343"/>
      <c r="AU121" s="328">
        <f t="shared" si="3"/>
        <v>80000000</v>
      </c>
      <c r="AV121" s="328">
        <f t="shared" si="6"/>
        <v>12200000</v>
      </c>
      <c r="AW121" s="328">
        <f t="shared" si="7"/>
        <v>0</v>
      </c>
      <c r="AX121" s="385" t="s">
        <v>329</v>
      </c>
      <c r="AY121" s="331"/>
      <c r="AZ121" s="331"/>
      <c r="BA121" s="331"/>
      <c r="BB121" s="331"/>
      <c r="BC121" s="331"/>
      <c r="BD121" s="331"/>
      <c r="BE121" s="331"/>
      <c r="BF121" s="331"/>
      <c r="BG121" s="331"/>
      <c r="BH121" s="331"/>
      <c r="BI121" s="331"/>
      <c r="BJ121" s="331"/>
      <c r="BK121" s="331"/>
      <c r="BL121" s="331"/>
      <c r="BM121" s="331"/>
      <c r="BN121" s="331"/>
      <c r="BO121" s="331"/>
      <c r="BP121" s="331"/>
      <c r="BQ121" s="331"/>
      <c r="BR121" s="331"/>
      <c r="BS121" s="331"/>
      <c r="BT121" s="331"/>
      <c r="BU121" s="331"/>
      <c r="BV121" s="331"/>
      <c r="BW121" s="331"/>
      <c r="BX121" s="331"/>
      <c r="BY121" s="331"/>
      <c r="BZ121" s="331"/>
      <c r="CA121" s="331"/>
      <c r="CB121" s="331"/>
      <c r="CC121" s="331"/>
      <c r="CD121" s="331"/>
      <c r="CE121" s="331"/>
      <c r="CF121" s="331"/>
      <c r="CG121" s="331"/>
      <c r="CH121" s="331"/>
      <c r="CI121" s="331"/>
      <c r="CJ121" s="331"/>
      <c r="CK121" s="331"/>
      <c r="CL121" s="331"/>
      <c r="CM121" s="331"/>
      <c r="CN121" s="331"/>
      <c r="CO121" s="331"/>
      <c r="CP121" s="331"/>
      <c r="CQ121" s="331"/>
      <c r="CR121" s="331"/>
      <c r="CS121" s="331"/>
      <c r="CT121" s="331"/>
      <c r="CU121" s="331"/>
      <c r="CV121" s="331"/>
      <c r="CW121" s="331"/>
      <c r="CX121" s="331"/>
      <c r="CY121" s="331"/>
      <c r="CZ121" s="331"/>
      <c r="DA121" s="331"/>
      <c r="DB121" s="331"/>
      <c r="DC121" s="331"/>
      <c r="DD121" s="331"/>
      <c r="DE121" s="331"/>
      <c r="DF121" s="331"/>
      <c r="DG121" s="331"/>
      <c r="DH121" s="331"/>
      <c r="DI121" s="331"/>
      <c r="DJ121" s="331"/>
      <c r="DK121" s="331"/>
      <c r="DL121" s="331"/>
      <c r="DM121" s="331"/>
      <c r="DN121" s="331"/>
      <c r="DO121" s="331"/>
      <c r="DP121" s="331"/>
      <c r="DQ121" s="331"/>
      <c r="DR121" s="331"/>
      <c r="DS121" s="331"/>
      <c r="DT121" s="331"/>
      <c r="DU121" s="331"/>
      <c r="DV121" s="331"/>
      <c r="DW121" s="331"/>
      <c r="DX121" s="331"/>
      <c r="DY121" s="331"/>
    </row>
    <row r="122" spans="1:129" s="332" customFormat="1" ht="80.25" customHeight="1" x14ac:dyDescent="0.25">
      <c r="A122" s="259">
        <v>310</v>
      </c>
      <c r="B122" s="325" t="s">
        <v>326</v>
      </c>
      <c r="C122" s="259"/>
      <c r="D122" s="325"/>
      <c r="E122" s="259">
        <v>1</v>
      </c>
      <c r="F122" s="325" t="s">
        <v>112</v>
      </c>
      <c r="G122" s="259">
        <v>33</v>
      </c>
      <c r="H122" s="325" t="s">
        <v>123</v>
      </c>
      <c r="I122" s="259">
        <v>3301</v>
      </c>
      <c r="J122" s="385" t="s">
        <v>124</v>
      </c>
      <c r="K122" s="281">
        <v>3301059</v>
      </c>
      <c r="L122" s="393" t="s">
        <v>360</v>
      </c>
      <c r="M122" s="259">
        <v>330105901</v>
      </c>
      <c r="N122" s="393" t="s">
        <v>361</v>
      </c>
      <c r="O122" s="343" t="s">
        <v>67</v>
      </c>
      <c r="P122" s="272">
        <v>60</v>
      </c>
      <c r="Q122" s="272">
        <v>0</v>
      </c>
      <c r="R122" s="402">
        <v>2024003630049</v>
      </c>
      <c r="S122" s="435" t="s">
        <v>357</v>
      </c>
      <c r="T122" s="404"/>
      <c r="U122" s="404"/>
      <c r="V122" s="404"/>
      <c r="W122" s="328"/>
      <c r="X122" s="328"/>
      <c r="Y122" s="328"/>
      <c r="Z122" s="343"/>
      <c r="AA122" s="343"/>
      <c r="AB122" s="343"/>
      <c r="AC122" s="328"/>
      <c r="AD122" s="328"/>
      <c r="AE122" s="328"/>
      <c r="AF122" s="328"/>
      <c r="AG122" s="328"/>
      <c r="AH122" s="328"/>
      <c r="AI122" s="328"/>
      <c r="AJ122" s="328"/>
      <c r="AK122" s="328"/>
      <c r="AL122" s="328">
        <v>16000000</v>
      </c>
      <c r="AM122" s="328">
        <v>8750000</v>
      </c>
      <c r="AN122" s="328">
        <v>0</v>
      </c>
      <c r="AO122" s="343"/>
      <c r="AP122" s="343"/>
      <c r="AQ122" s="343"/>
      <c r="AR122" s="343"/>
      <c r="AS122" s="343"/>
      <c r="AT122" s="343"/>
      <c r="AU122" s="328">
        <f t="shared" si="3"/>
        <v>16000000</v>
      </c>
      <c r="AV122" s="328">
        <f t="shared" si="6"/>
        <v>8750000</v>
      </c>
      <c r="AW122" s="328">
        <f t="shared" si="7"/>
        <v>0</v>
      </c>
      <c r="AX122" s="385" t="s">
        <v>329</v>
      </c>
      <c r="AY122" s="331"/>
      <c r="AZ122" s="331"/>
      <c r="BA122" s="331"/>
      <c r="BB122" s="331"/>
      <c r="BC122" s="331"/>
      <c r="BD122" s="331"/>
      <c r="BE122" s="331"/>
      <c r="BF122" s="331"/>
      <c r="BG122" s="331"/>
      <c r="BH122" s="331"/>
      <c r="BI122" s="331"/>
      <c r="BJ122" s="331"/>
      <c r="BK122" s="331"/>
      <c r="BL122" s="331"/>
      <c r="BM122" s="331"/>
      <c r="BN122" s="331"/>
      <c r="BO122" s="331"/>
      <c r="BP122" s="331"/>
      <c r="BQ122" s="331"/>
      <c r="BR122" s="331"/>
      <c r="BS122" s="331"/>
      <c r="BT122" s="331"/>
      <c r="BU122" s="331"/>
      <c r="BV122" s="331"/>
      <c r="BW122" s="331"/>
      <c r="BX122" s="331"/>
      <c r="BY122" s="331"/>
      <c r="BZ122" s="331"/>
      <c r="CA122" s="331"/>
      <c r="CB122" s="331"/>
      <c r="CC122" s="331"/>
      <c r="CD122" s="331"/>
      <c r="CE122" s="331"/>
      <c r="CF122" s="331"/>
      <c r="CG122" s="331"/>
      <c r="CH122" s="331"/>
      <c r="CI122" s="331"/>
      <c r="CJ122" s="331"/>
      <c r="CK122" s="331"/>
      <c r="CL122" s="331"/>
      <c r="CM122" s="331"/>
      <c r="CN122" s="331"/>
      <c r="CO122" s="331"/>
      <c r="CP122" s="331"/>
      <c r="CQ122" s="331"/>
      <c r="CR122" s="331"/>
      <c r="CS122" s="331"/>
      <c r="CT122" s="331"/>
      <c r="CU122" s="331"/>
      <c r="CV122" s="331"/>
      <c r="CW122" s="331"/>
      <c r="CX122" s="331"/>
      <c r="CY122" s="331"/>
      <c r="CZ122" s="331"/>
      <c r="DA122" s="331"/>
      <c r="DB122" s="331"/>
      <c r="DC122" s="331"/>
      <c r="DD122" s="331"/>
      <c r="DE122" s="331"/>
      <c r="DF122" s="331"/>
      <c r="DG122" s="331"/>
      <c r="DH122" s="331"/>
      <c r="DI122" s="331"/>
      <c r="DJ122" s="331"/>
      <c r="DK122" s="331"/>
      <c r="DL122" s="331"/>
      <c r="DM122" s="331"/>
      <c r="DN122" s="331"/>
      <c r="DO122" s="331"/>
      <c r="DP122" s="331"/>
      <c r="DQ122" s="331"/>
      <c r="DR122" s="331"/>
      <c r="DS122" s="331"/>
      <c r="DT122" s="331"/>
      <c r="DU122" s="331"/>
      <c r="DV122" s="331"/>
      <c r="DW122" s="331"/>
      <c r="DX122" s="331"/>
      <c r="DY122" s="331"/>
    </row>
    <row r="123" spans="1:129" s="332" customFormat="1" ht="80.25" customHeight="1" x14ac:dyDescent="0.25">
      <c r="A123" s="259">
        <v>310</v>
      </c>
      <c r="B123" s="325" t="s">
        <v>326</v>
      </c>
      <c r="C123" s="259"/>
      <c r="D123" s="325"/>
      <c r="E123" s="259">
        <v>1</v>
      </c>
      <c r="F123" s="325" t="s">
        <v>112</v>
      </c>
      <c r="G123" s="259">
        <v>33</v>
      </c>
      <c r="H123" s="325" t="s">
        <v>123</v>
      </c>
      <c r="I123" s="259">
        <v>3301</v>
      </c>
      <c r="J123" s="385" t="s">
        <v>124</v>
      </c>
      <c r="K123" s="257">
        <v>3301074</v>
      </c>
      <c r="L123" s="393" t="s">
        <v>362</v>
      </c>
      <c r="M123" s="259">
        <v>330107400</v>
      </c>
      <c r="N123" s="393" t="s">
        <v>363</v>
      </c>
      <c r="O123" s="343" t="s">
        <v>67</v>
      </c>
      <c r="P123" s="272">
        <v>70</v>
      </c>
      <c r="Q123" s="272">
        <v>56</v>
      </c>
      <c r="R123" s="402">
        <v>2024003630049</v>
      </c>
      <c r="S123" s="435" t="s">
        <v>357</v>
      </c>
      <c r="T123" s="404"/>
      <c r="U123" s="404"/>
      <c r="V123" s="404"/>
      <c r="W123" s="328"/>
      <c r="X123" s="328"/>
      <c r="Y123" s="328"/>
      <c r="Z123" s="343"/>
      <c r="AA123" s="343"/>
      <c r="AB123" s="343"/>
      <c r="AC123" s="328"/>
      <c r="AD123" s="328"/>
      <c r="AE123" s="328"/>
      <c r="AF123" s="328"/>
      <c r="AG123" s="328"/>
      <c r="AH123" s="328"/>
      <c r="AI123" s="328"/>
      <c r="AJ123" s="328"/>
      <c r="AK123" s="328"/>
      <c r="AL123" s="328">
        <v>20000000</v>
      </c>
      <c r="AM123" s="328">
        <v>0</v>
      </c>
      <c r="AN123" s="328">
        <v>0</v>
      </c>
      <c r="AO123" s="343"/>
      <c r="AP123" s="343"/>
      <c r="AQ123" s="343"/>
      <c r="AR123" s="343"/>
      <c r="AS123" s="343"/>
      <c r="AT123" s="343"/>
      <c r="AU123" s="328">
        <f t="shared" si="3"/>
        <v>20000000</v>
      </c>
      <c r="AV123" s="328">
        <f t="shared" si="6"/>
        <v>0</v>
      </c>
      <c r="AW123" s="328">
        <f t="shared" si="7"/>
        <v>0</v>
      </c>
      <c r="AX123" s="385" t="s">
        <v>329</v>
      </c>
      <c r="AY123" s="331"/>
      <c r="AZ123" s="331"/>
      <c r="BA123" s="331"/>
      <c r="BB123" s="331"/>
      <c r="BC123" s="331"/>
      <c r="BD123" s="331"/>
      <c r="BE123" s="331"/>
      <c r="BF123" s="331"/>
      <c r="BG123" s="331"/>
      <c r="BH123" s="331"/>
      <c r="BI123" s="331"/>
      <c r="BJ123" s="331"/>
      <c r="BK123" s="331"/>
      <c r="BL123" s="331"/>
      <c r="BM123" s="331"/>
      <c r="BN123" s="331"/>
      <c r="BO123" s="331"/>
      <c r="BP123" s="331"/>
      <c r="BQ123" s="331"/>
      <c r="BR123" s="331"/>
      <c r="BS123" s="331"/>
      <c r="BT123" s="331"/>
      <c r="BU123" s="331"/>
      <c r="BV123" s="331"/>
      <c r="BW123" s="331"/>
      <c r="BX123" s="331"/>
      <c r="BY123" s="331"/>
      <c r="BZ123" s="331"/>
      <c r="CA123" s="331"/>
      <c r="CB123" s="331"/>
      <c r="CC123" s="331"/>
      <c r="CD123" s="331"/>
      <c r="CE123" s="331"/>
      <c r="CF123" s="331"/>
      <c r="CG123" s="331"/>
      <c r="CH123" s="331"/>
      <c r="CI123" s="331"/>
      <c r="CJ123" s="331"/>
      <c r="CK123" s="331"/>
      <c r="CL123" s="331"/>
      <c r="CM123" s="331"/>
      <c r="CN123" s="331"/>
      <c r="CO123" s="331"/>
      <c r="CP123" s="331"/>
      <c r="CQ123" s="331"/>
      <c r="CR123" s="331"/>
      <c r="CS123" s="331"/>
      <c r="CT123" s="331"/>
      <c r="CU123" s="331"/>
      <c r="CV123" s="331"/>
      <c r="CW123" s="331"/>
      <c r="CX123" s="331"/>
      <c r="CY123" s="331"/>
      <c r="CZ123" s="331"/>
      <c r="DA123" s="331"/>
      <c r="DB123" s="331"/>
      <c r="DC123" s="331"/>
      <c r="DD123" s="331"/>
      <c r="DE123" s="331"/>
      <c r="DF123" s="331"/>
      <c r="DG123" s="331"/>
      <c r="DH123" s="331"/>
      <c r="DI123" s="331"/>
      <c r="DJ123" s="331"/>
      <c r="DK123" s="331"/>
      <c r="DL123" s="331"/>
      <c r="DM123" s="331"/>
      <c r="DN123" s="331"/>
      <c r="DO123" s="331"/>
      <c r="DP123" s="331"/>
      <c r="DQ123" s="331"/>
      <c r="DR123" s="331"/>
      <c r="DS123" s="331"/>
      <c r="DT123" s="331"/>
      <c r="DU123" s="331"/>
      <c r="DV123" s="331"/>
      <c r="DW123" s="331"/>
      <c r="DX123" s="331"/>
      <c r="DY123" s="331"/>
    </row>
    <row r="124" spans="1:129" s="332" customFormat="1" ht="80.25" customHeight="1" x14ac:dyDescent="0.25">
      <c r="A124" s="259">
        <v>310</v>
      </c>
      <c r="B124" s="325" t="s">
        <v>326</v>
      </c>
      <c r="C124" s="259"/>
      <c r="D124" s="325"/>
      <c r="E124" s="259">
        <v>1</v>
      </c>
      <c r="F124" s="325" t="s">
        <v>112</v>
      </c>
      <c r="G124" s="259">
        <v>33</v>
      </c>
      <c r="H124" s="325" t="s">
        <v>123</v>
      </c>
      <c r="I124" s="259">
        <v>3301</v>
      </c>
      <c r="J124" s="385" t="s">
        <v>124</v>
      </c>
      <c r="K124" s="313">
        <v>3301071</v>
      </c>
      <c r="L124" s="393" t="s">
        <v>364</v>
      </c>
      <c r="M124" s="259">
        <v>330107100</v>
      </c>
      <c r="N124" s="393" t="s">
        <v>365</v>
      </c>
      <c r="O124" s="343" t="s">
        <v>67</v>
      </c>
      <c r="P124" s="272">
        <v>2</v>
      </c>
      <c r="Q124" s="272">
        <v>0.5</v>
      </c>
      <c r="R124" s="402">
        <v>2024003630049</v>
      </c>
      <c r="S124" s="435" t="s">
        <v>357</v>
      </c>
      <c r="T124" s="404"/>
      <c r="U124" s="404"/>
      <c r="V124" s="404"/>
      <c r="W124" s="328"/>
      <c r="X124" s="328"/>
      <c r="Y124" s="328"/>
      <c r="Z124" s="343"/>
      <c r="AA124" s="343"/>
      <c r="AB124" s="343"/>
      <c r="AC124" s="328"/>
      <c r="AD124" s="328"/>
      <c r="AE124" s="328"/>
      <c r="AF124" s="328"/>
      <c r="AG124" s="328"/>
      <c r="AH124" s="328"/>
      <c r="AI124" s="328"/>
      <c r="AJ124" s="328"/>
      <c r="AK124" s="328"/>
      <c r="AL124" s="328">
        <v>20000000</v>
      </c>
      <c r="AM124" s="328">
        <v>14100000</v>
      </c>
      <c r="AN124" s="328">
        <v>3700000</v>
      </c>
      <c r="AO124" s="343"/>
      <c r="AP124" s="343"/>
      <c r="AQ124" s="343"/>
      <c r="AR124" s="343"/>
      <c r="AS124" s="343"/>
      <c r="AT124" s="343"/>
      <c r="AU124" s="328">
        <f t="shared" ref="AU124:AU177" si="8">SUM(T124,W124,Z124,AC124,AF124,AI124,AL124,AO124,AR124)</f>
        <v>20000000</v>
      </c>
      <c r="AV124" s="328">
        <f t="shared" ref="AV124:AV187" si="9">SUM(U124,X124,AA124,AD124,AG124,AJ124,AM124,AP124,AS124)</f>
        <v>14100000</v>
      </c>
      <c r="AW124" s="328">
        <f t="shared" ref="AW124:AW187" si="10">SUM(V124,Y124,AB124,AE124,AH124,AK124,AN124,AQ124,AT124)</f>
        <v>3700000</v>
      </c>
      <c r="AX124" s="385" t="s">
        <v>329</v>
      </c>
      <c r="AY124" s="331"/>
      <c r="AZ124" s="331"/>
      <c r="BA124" s="331"/>
      <c r="BB124" s="331"/>
      <c r="BC124" s="331"/>
      <c r="BD124" s="331"/>
      <c r="BE124" s="331"/>
      <c r="BF124" s="331"/>
      <c r="BG124" s="331"/>
      <c r="BH124" s="331"/>
      <c r="BI124" s="331"/>
      <c r="BJ124" s="331"/>
      <c r="BK124" s="331"/>
      <c r="BL124" s="331"/>
      <c r="BM124" s="331"/>
      <c r="BN124" s="331"/>
      <c r="BO124" s="331"/>
      <c r="BP124" s="331"/>
      <c r="BQ124" s="331"/>
      <c r="BR124" s="331"/>
      <c r="BS124" s="331"/>
      <c r="BT124" s="331"/>
      <c r="BU124" s="331"/>
      <c r="BV124" s="331"/>
      <c r="BW124" s="331"/>
      <c r="BX124" s="331"/>
      <c r="BY124" s="331"/>
      <c r="BZ124" s="331"/>
      <c r="CA124" s="331"/>
      <c r="CB124" s="331"/>
      <c r="CC124" s="331"/>
      <c r="CD124" s="331"/>
      <c r="CE124" s="331"/>
      <c r="CF124" s="331"/>
      <c r="CG124" s="331"/>
      <c r="CH124" s="331"/>
      <c r="CI124" s="331"/>
      <c r="CJ124" s="331"/>
      <c r="CK124" s="331"/>
      <c r="CL124" s="331"/>
      <c r="CM124" s="331"/>
      <c r="CN124" s="331"/>
      <c r="CO124" s="331"/>
      <c r="CP124" s="331"/>
      <c r="CQ124" s="331"/>
      <c r="CR124" s="331"/>
      <c r="CS124" s="331"/>
      <c r="CT124" s="331"/>
      <c r="CU124" s="331"/>
      <c r="CV124" s="331"/>
      <c r="CW124" s="331"/>
      <c r="CX124" s="331"/>
      <c r="CY124" s="331"/>
      <c r="CZ124" s="331"/>
      <c r="DA124" s="331"/>
      <c r="DB124" s="331"/>
      <c r="DC124" s="331"/>
      <c r="DD124" s="331"/>
      <c r="DE124" s="331"/>
      <c r="DF124" s="331"/>
      <c r="DG124" s="331"/>
      <c r="DH124" s="331"/>
      <c r="DI124" s="331"/>
      <c r="DJ124" s="331"/>
      <c r="DK124" s="331"/>
      <c r="DL124" s="331"/>
      <c r="DM124" s="331"/>
      <c r="DN124" s="331"/>
      <c r="DO124" s="331"/>
      <c r="DP124" s="331"/>
      <c r="DQ124" s="331"/>
      <c r="DR124" s="331"/>
      <c r="DS124" s="331"/>
      <c r="DT124" s="331"/>
      <c r="DU124" s="331"/>
      <c r="DV124" s="331"/>
      <c r="DW124" s="331"/>
      <c r="DX124" s="331"/>
      <c r="DY124" s="331"/>
    </row>
    <row r="125" spans="1:129" s="332" customFormat="1" ht="80.25" customHeight="1" x14ac:dyDescent="0.25">
      <c r="A125" s="259">
        <v>310</v>
      </c>
      <c r="B125" s="325" t="s">
        <v>326</v>
      </c>
      <c r="C125" s="259"/>
      <c r="D125" s="325"/>
      <c r="E125" s="259">
        <v>1</v>
      </c>
      <c r="F125" s="325" t="s">
        <v>112</v>
      </c>
      <c r="G125" s="259">
        <v>33</v>
      </c>
      <c r="H125" s="325" t="s">
        <v>123</v>
      </c>
      <c r="I125" s="259">
        <v>3301</v>
      </c>
      <c r="J125" s="385" t="s">
        <v>124</v>
      </c>
      <c r="K125" s="257">
        <v>3301087</v>
      </c>
      <c r="L125" s="393" t="s">
        <v>337</v>
      </c>
      <c r="M125" s="259">
        <v>330108701</v>
      </c>
      <c r="N125" s="393" t="s">
        <v>294</v>
      </c>
      <c r="O125" s="343" t="s">
        <v>67</v>
      </c>
      <c r="P125" s="272">
        <v>110</v>
      </c>
      <c r="Q125" s="272">
        <v>110</v>
      </c>
      <c r="R125" s="402">
        <v>2024003630049</v>
      </c>
      <c r="S125" s="435" t="s">
        <v>357</v>
      </c>
      <c r="T125" s="404"/>
      <c r="U125" s="404"/>
      <c r="V125" s="404"/>
      <c r="W125" s="328"/>
      <c r="X125" s="328"/>
      <c r="Y125" s="328"/>
      <c r="Z125" s="343"/>
      <c r="AA125" s="343"/>
      <c r="AB125" s="343"/>
      <c r="AC125" s="328"/>
      <c r="AD125" s="328"/>
      <c r="AE125" s="328"/>
      <c r="AF125" s="328"/>
      <c r="AG125" s="328"/>
      <c r="AH125" s="328"/>
      <c r="AI125" s="328"/>
      <c r="AJ125" s="328"/>
      <c r="AK125" s="328"/>
      <c r="AL125" s="404">
        <v>16000000</v>
      </c>
      <c r="AM125" s="404">
        <v>10800000</v>
      </c>
      <c r="AN125" s="404">
        <v>8600000</v>
      </c>
      <c r="AO125" s="343"/>
      <c r="AP125" s="343"/>
      <c r="AQ125" s="343"/>
      <c r="AR125" s="343"/>
      <c r="AS125" s="343"/>
      <c r="AT125" s="343"/>
      <c r="AU125" s="328">
        <f t="shared" si="8"/>
        <v>16000000</v>
      </c>
      <c r="AV125" s="328">
        <f t="shared" si="9"/>
        <v>10800000</v>
      </c>
      <c r="AW125" s="328">
        <f t="shared" si="10"/>
        <v>8600000</v>
      </c>
      <c r="AX125" s="385" t="s">
        <v>329</v>
      </c>
      <c r="AY125" s="331"/>
      <c r="AZ125" s="331"/>
      <c r="BA125" s="331"/>
      <c r="BB125" s="331"/>
      <c r="BC125" s="331"/>
      <c r="BD125" s="331"/>
      <c r="BE125" s="331"/>
      <c r="BF125" s="331"/>
      <c r="BG125" s="331"/>
      <c r="BH125" s="331"/>
      <c r="BI125" s="331"/>
      <c r="BJ125" s="331"/>
      <c r="BK125" s="331"/>
      <c r="BL125" s="331"/>
      <c r="BM125" s="331"/>
      <c r="BN125" s="331"/>
      <c r="BO125" s="331"/>
      <c r="BP125" s="331"/>
      <c r="BQ125" s="331"/>
      <c r="BR125" s="331"/>
      <c r="BS125" s="331"/>
      <c r="BT125" s="331"/>
      <c r="BU125" s="331"/>
      <c r="BV125" s="331"/>
      <c r="BW125" s="331"/>
      <c r="BX125" s="331"/>
      <c r="BY125" s="331"/>
      <c r="BZ125" s="331"/>
      <c r="CA125" s="331"/>
      <c r="CB125" s="331"/>
      <c r="CC125" s="331"/>
      <c r="CD125" s="331"/>
      <c r="CE125" s="331"/>
      <c r="CF125" s="331"/>
      <c r="CG125" s="331"/>
      <c r="CH125" s="331"/>
      <c r="CI125" s="331"/>
      <c r="CJ125" s="331"/>
      <c r="CK125" s="331"/>
      <c r="CL125" s="331"/>
      <c r="CM125" s="331"/>
      <c r="CN125" s="331"/>
      <c r="CO125" s="331"/>
      <c r="CP125" s="331"/>
      <c r="CQ125" s="331"/>
      <c r="CR125" s="331"/>
      <c r="CS125" s="331"/>
      <c r="CT125" s="331"/>
      <c r="CU125" s="331"/>
      <c r="CV125" s="331"/>
      <c r="CW125" s="331"/>
      <c r="CX125" s="331"/>
      <c r="CY125" s="331"/>
      <c r="CZ125" s="331"/>
      <c r="DA125" s="331"/>
      <c r="DB125" s="331"/>
      <c r="DC125" s="331"/>
      <c r="DD125" s="331"/>
      <c r="DE125" s="331"/>
      <c r="DF125" s="331"/>
      <c r="DG125" s="331"/>
      <c r="DH125" s="331"/>
      <c r="DI125" s="331"/>
      <c r="DJ125" s="331"/>
      <c r="DK125" s="331"/>
      <c r="DL125" s="331"/>
      <c r="DM125" s="331"/>
      <c r="DN125" s="331"/>
      <c r="DO125" s="331"/>
      <c r="DP125" s="331"/>
      <c r="DQ125" s="331"/>
      <c r="DR125" s="331"/>
      <c r="DS125" s="331"/>
      <c r="DT125" s="331"/>
      <c r="DU125" s="331"/>
      <c r="DV125" s="331"/>
      <c r="DW125" s="331"/>
      <c r="DX125" s="331"/>
      <c r="DY125" s="331"/>
    </row>
    <row r="126" spans="1:129" s="331" customFormat="1" ht="80.25" customHeight="1" x14ac:dyDescent="0.25">
      <c r="A126" s="257">
        <v>310</v>
      </c>
      <c r="B126" s="376" t="s">
        <v>326</v>
      </c>
      <c r="C126" s="257">
        <v>1</v>
      </c>
      <c r="D126" s="376" t="s">
        <v>105</v>
      </c>
      <c r="E126" s="257">
        <v>1</v>
      </c>
      <c r="F126" s="376" t="s">
        <v>112</v>
      </c>
      <c r="G126" s="257">
        <v>33</v>
      </c>
      <c r="H126" s="376" t="s">
        <v>123</v>
      </c>
      <c r="I126" s="257">
        <v>3302</v>
      </c>
      <c r="J126" s="376" t="s">
        <v>366</v>
      </c>
      <c r="K126" s="282">
        <v>3302042</v>
      </c>
      <c r="L126" s="376" t="s">
        <v>367</v>
      </c>
      <c r="M126" s="257" t="s">
        <v>368</v>
      </c>
      <c r="N126" s="388" t="s">
        <v>369</v>
      </c>
      <c r="O126" s="378" t="s">
        <v>67</v>
      </c>
      <c r="P126" s="280">
        <v>12</v>
      </c>
      <c r="Q126" s="280">
        <v>8</v>
      </c>
      <c r="R126" s="380">
        <v>2020003630073</v>
      </c>
      <c r="S126" s="445" t="s">
        <v>370</v>
      </c>
      <c r="T126" s="381"/>
      <c r="U126" s="381"/>
      <c r="V126" s="381"/>
      <c r="W126" s="381"/>
      <c r="X126" s="381"/>
      <c r="Y126" s="381"/>
      <c r="Z126" s="381"/>
      <c r="AA126" s="381"/>
      <c r="AB126" s="381"/>
      <c r="AC126" s="381"/>
      <c r="AD126" s="381"/>
      <c r="AE126" s="381"/>
      <c r="AF126" s="381"/>
      <c r="AG126" s="381"/>
      <c r="AH126" s="381"/>
      <c r="AI126" s="381"/>
      <c r="AJ126" s="381"/>
      <c r="AK126" s="381"/>
      <c r="AL126" s="400">
        <f>70000000-33100000</f>
        <v>36900000</v>
      </c>
      <c r="AM126" s="400">
        <v>36900000</v>
      </c>
      <c r="AN126" s="400">
        <v>36900000</v>
      </c>
      <c r="AO126" s="381"/>
      <c r="AP126" s="381"/>
      <c r="AQ126" s="381"/>
      <c r="AR126" s="381"/>
      <c r="AS126" s="381"/>
      <c r="AT126" s="381"/>
      <c r="AU126" s="381">
        <f t="shared" si="8"/>
        <v>36900000</v>
      </c>
      <c r="AV126" s="381">
        <f t="shared" si="9"/>
        <v>36900000</v>
      </c>
      <c r="AW126" s="381">
        <f t="shared" si="10"/>
        <v>36900000</v>
      </c>
      <c r="AX126" s="392" t="s">
        <v>329</v>
      </c>
    </row>
    <row r="127" spans="1:129" s="331" customFormat="1" ht="80.25" customHeight="1" x14ac:dyDescent="0.25">
      <c r="A127" s="257">
        <v>310</v>
      </c>
      <c r="B127" s="376" t="s">
        <v>326</v>
      </c>
      <c r="C127" s="257">
        <v>1</v>
      </c>
      <c r="D127" s="376" t="s">
        <v>105</v>
      </c>
      <c r="E127" s="257">
        <v>1</v>
      </c>
      <c r="F127" s="376" t="s">
        <v>112</v>
      </c>
      <c r="G127" s="257">
        <v>33</v>
      </c>
      <c r="H127" s="376" t="s">
        <v>123</v>
      </c>
      <c r="I127" s="257">
        <v>3302</v>
      </c>
      <c r="J127" s="376" t="s">
        <v>366</v>
      </c>
      <c r="K127" s="281">
        <v>3302070</v>
      </c>
      <c r="L127" s="376" t="s">
        <v>371</v>
      </c>
      <c r="M127" s="258" t="s">
        <v>372</v>
      </c>
      <c r="N127" s="388" t="s">
        <v>336</v>
      </c>
      <c r="O127" s="280" t="s">
        <v>26</v>
      </c>
      <c r="P127" s="280">
        <v>4</v>
      </c>
      <c r="Q127" s="280">
        <v>2</v>
      </c>
      <c r="R127" s="380">
        <v>2020003630073</v>
      </c>
      <c r="S127" s="445" t="s">
        <v>370</v>
      </c>
      <c r="T127" s="381"/>
      <c r="U127" s="381"/>
      <c r="V127" s="381"/>
      <c r="W127" s="381"/>
      <c r="X127" s="381"/>
      <c r="Y127" s="381"/>
      <c r="Z127" s="381"/>
      <c r="AA127" s="381"/>
      <c r="AB127" s="381"/>
      <c r="AC127" s="381"/>
      <c r="AD127" s="381"/>
      <c r="AE127" s="381"/>
      <c r="AF127" s="381"/>
      <c r="AG127" s="381"/>
      <c r="AH127" s="381"/>
      <c r="AI127" s="381"/>
      <c r="AJ127" s="381"/>
      <c r="AK127" s="381"/>
      <c r="AL127" s="400">
        <f>70000000-29600000</f>
        <v>40400000</v>
      </c>
      <c r="AM127" s="400">
        <v>40400000</v>
      </c>
      <c r="AN127" s="400">
        <v>33999997.149999999</v>
      </c>
      <c r="AO127" s="381">
        <f>103859000+1009422.3+5642403-110510825.3</f>
        <v>0</v>
      </c>
      <c r="AP127" s="381"/>
      <c r="AQ127" s="381"/>
      <c r="AR127" s="381"/>
      <c r="AS127" s="381"/>
      <c r="AT127" s="381"/>
      <c r="AU127" s="381">
        <f t="shared" si="8"/>
        <v>40400000</v>
      </c>
      <c r="AV127" s="381">
        <f t="shared" si="9"/>
        <v>40400000</v>
      </c>
      <c r="AW127" s="381">
        <f t="shared" si="10"/>
        <v>33999997.149999999</v>
      </c>
      <c r="AX127" s="392" t="s">
        <v>329</v>
      </c>
    </row>
    <row r="128" spans="1:129" s="332" customFormat="1" ht="80.25" customHeight="1" x14ac:dyDescent="0.25">
      <c r="A128" s="259">
        <v>310</v>
      </c>
      <c r="B128" s="325" t="s">
        <v>326</v>
      </c>
      <c r="C128" s="259"/>
      <c r="D128" s="325"/>
      <c r="E128" s="259">
        <v>1</v>
      </c>
      <c r="F128" s="325" t="s">
        <v>112</v>
      </c>
      <c r="G128" s="259">
        <v>33</v>
      </c>
      <c r="H128" s="325" t="s">
        <v>123</v>
      </c>
      <c r="I128" s="259">
        <v>3302</v>
      </c>
      <c r="J128" s="385" t="s">
        <v>366</v>
      </c>
      <c r="K128" s="257">
        <v>3302042</v>
      </c>
      <c r="L128" s="393" t="s">
        <v>373</v>
      </c>
      <c r="M128" s="261">
        <v>330204200</v>
      </c>
      <c r="N128" s="393" t="s">
        <v>374</v>
      </c>
      <c r="O128" s="343" t="s">
        <v>67</v>
      </c>
      <c r="P128" s="272">
        <v>18</v>
      </c>
      <c r="Q128" s="272">
        <v>10</v>
      </c>
      <c r="R128" s="281">
        <v>2024003630046</v>
      </c>
      <c r="S128" s="435" t="s">
        <v>375</v>
      </c>
      <c r="T128" s="328"/>
      <c r="U128" s="328"/>
      <c r="V128" s="328"/>
      <c r="W128" s="328"/>
      <c r="X128" s="328"/>
      <c r="Y128" s="328"/>
      <c r="Z128" s="328"/>
      <c r="AA128" s="328"/>
      <c r="AB128" s="328"/>
      <c r="AC128" s="328"/>
      <c r="AD128" s="328"/>
      <c r="AE128" s="328"/>
      <c r="AF128" s="328"/>
      <c r="AG128" s="328"/>
      <c r="AH128" s="328"/>
      <c r="AI128" s="328"/>
      <c r="AJ128" s="328"/>
      <c r="AK128" s="328"/>
      <c r="AL128" s="404">
        <v>22700000</v>
      </c>
      <c r="AM128" s="404">
        <v>22700000</v>
      </c>
      <c r="AN128" s="404">
        <v>11400000</v>
      </c>
      <c r="AO128" s="328"/>
      <c r="AP128" s="328"/>
      <c r="AQ128" s="328"/>
      <c r="AR128" s="328"/>
      <c r="AS128" s="328"/>
      <c r="AT128" s="328"/>
      <c r="AU128" s="328">
        <f t="shared" si="8"/>
        <v>22700000</v>
      </c>
      <c r="AV128" s="328">
        <f t="shared" si="9"/>
        <v>22700000</v>
      </c>
      <c r="AW128" s="328">
        <f t="shared" si="10"/>
        <v>11400000</v>
      </c>
      <c r="AX128" s="385" t="s">
        <v>329</v>
      </c>
      <c r="AY128" s="331"/>
      <c r="AZ128" s="331"/>
      <c r="BA128" s="331"/>
      <c r="BB128" s="331"/>
      <c r="BC128" s="331"/>
      <c r="BD128" s="331"/>
      <c r="BE128" s="331"/>
      <c r="BF128" s="331"/>
      <c r="BG128" s="331"/>
      <c r="BH128" s="331"/>
      <c r="BI128" s="331"/>
      <c r="BJ128" s="331"/>
      <c r="BK128" s="331"/>
      <c r="BL128" s="331"/>
      <c r="BM128" s="331"/>
      <c r="BN128" s="331"/>
      <c r="BO128" s="331"/>
      <c r="BP128" s="331"/>
      <c r="BQ128" s="331"/>
      <c r="BR128" s="331"/>
      <c r="BS128" s="331"/>
      <c r="BT128" s="331"/>
      <c r="BU128" s="331"/>
      <c r="BV128" s="331"/>
      <c r="BW128" s="331"/>
      <c r="BX128" s="331"/>
      <c r="BY128" s="331"/>
      <c r="BZ128" s="331"/>
      <c r="CA128" s="331"/>
      <c r="CB128" s="331"/>
      <c r="CC128" s="331"/>
      <c r="CD128" s="331"/>
      <c r="CE128" s="331"/>
      <c r="CF128" s="331"/>
      <c r="CG128" s="331"/>
      <c r="CH128" s="331"/>
      <c r="CI128" s="331"/>
      <c r="CJ128" s="331"/>
      <c r="CK128" s="331"/>
      <c r="CL128" s="331"/>
      <c r="CM128" s="331"/>
      <c r="CN128" s="331"/>
      <c r="CO128" s="331"/>
      <c r="CP128" s="331"/>
      <c r="CQ128" s="331"/>
      <c r="CR128" s="331"/>
      <c r="CS128" s="331"/>
      <c r="CT128" s="331"/>
      <c r="CU128" s="331"/>
      <c r="CV128" s="331"/>
      <c r="CW128" s="331"/>
      <c r="CX128" s="331"/>
      <c r="CY128" s="331"/>
      <c r="CZ128" s="331"/>
      <c r="DA128" s="331"/>
      <c r="DB128" s="331"/>
      <c r="DC128" s="331"/>
      <c r="DD128" s="331"/>
      <c r="DE128" s="331"/>
      <c r="DF128" s="331"/>
      <c r="DG128" s="331"/>
      <c r="DH128" s="331"/>
      <c r="DI128" s="331"/>
      <c r="DJ128" s="331"/>
      <c r="DK128" s="331"/>
      <c r="DL128" s="331"/>
      <c r="DM128" s="331"/>
      <c r="DN128" s="331"/>
      <c r="DO128" s="331"/>
      <c r="DP128" s="331"/>
      <c r="DQ128" s="331"/>
      <c r="DR128" s="331"/>
      <c r="DS128" s="331"/>
      <c r="DT128" s="331"/>
      <c r="DU128" s="331"/>
      <c r="DV128" s="331"/>
      <c r="DW128" s="331"/>
      <c r="DX128" s="331"/>
      <c r="DY128" s="331"/>
    </row>
    <row r="129" spans="1:129" s="332" customFormat="1" ht="80.25" customHeight="1" x14ac:dyDescent="0.25">
      <c r="A129" s="259">
        <v>310</v>
      </c>
      <c r="B129" s="325" t="s">
        <v>326</v>
      </c>
      <c r="C129" s="259"/>
      <c r="D129" s="325"/>
      <c r="E129" s="259">
        <v>1</v>
      </c>
      <c r="F129" s="325" t="s">
        <v>112</v>
      </c>
      <c r="G129" s="259">
        <v>33</v>
      </c>
      <c r="H129" s="325" t="s">
        <v>123</v>
      </c>
      <c r="I129" s="259">
        <v>3302</v>
      </c>
      <c r="J129" s="385" t="s">
        <v>366</v>
      </c>
      <c r="K129" s="313">
        <v>3302070</v>
      </c>
      <c r="L129" s="393" t="s">
        <v>376</v>
      </c>
      <c r="M129" s="261">
        <v>330207000</v>
      </c>
      <c r="N129" s="393" t="s">
        <v>336</v>
      </c>
      <c r="O129" s="343" t="s">
        <v>67</v>
      </c>
      <c r="P129" s="272">
        <v>15</v>
      </c>
      <c r="Q129" s="272">
        <v>9</v>
      </c>
      <c r="R129" s="281">
        <v>2024003630046</v>
      </c>
      <c r="S129" s="435" t="s">
        <v>375</v>
      </c>
      <c r="T129" s="328"/>
      <c r="U129" s="328"/>
      <c r="V129" s="328"/>
      <c r="W129" s="328"/>
      <c r="X129" s="328"/>
      <c r="Y129" s="328"/>
      <c r="Z129" s="328"/>
      <c r="AA129" s="328"/>
      <c r="AB129" s="328"/>
      <c r="AC129" s="328"/>
      <c r="AD129" s="328"/>
      <c r="AE129" s="328"/>
      <c r="AF129" s="328"/>
      <c r="AG129" s="328"/>
      <c r="AH129" s="328"/>
      <c r="AI129" s="328"/>
      <c r="AJ129" s="328"/>
      <c r="AK129" s="328"/>
      <c r="AL129" s="404">
        <v>15000000</v>
      </c>
      <c r="AM129" s="404">
        <v>15000000</v>
      </c>
      <c r="AN129" s="404">
        <v>1000000</v>
      </c>
      <c r="AO129" s="328">
        <f>160151403+1009422.3</f>
        <v>161160825.30000001</v>
      </c>
      <c r="AP129" s="328">
        <v>31650000</v>
      </c>
      <c r="AQ129" s="328">
        <v>0</v>
      </c>
      <c r="AR129" s="328"/>
      <c r="AS129" s="328"/>
      <c r="AT129" s="328"/>
      <c r="AU129" s="328">
        <f t="shared" si="8"/>
        <v>176160825.30000001</v>
      </c>
      <c r="AV129" s="328">
        <f t="shared" si="9"/>
        <v>46650000</v>
      </c>
      <c r="AW129" s="328">
        <f t="shared" si="10"/>
        <v>1000000</v>
      </c>
      <c r="AX129" s="385" t="s">
        <v>329</v>
      </c>
      <c r="AY129" s="331"/>
      <c r="AZ129" s="331"/>
      <c r="BA129" s="331"/>
      <c r="BB129" s="331"/>
      <c r="BC129" s="331"/>
      <c r="BD129" s="331"/>
      <c r="BE129" s="331"/>
      <c r="BF129" s="331"/>
      <c r="BG129" s="331"/>
      <c r="BH129" s="331"/>
      <c r="BI129" s="331"/>
      <c r="BJ129" s="331"/>
      <c r="BK129" s="331"/>
      <c r="BL129" s="331"/>
      <c r="BM129" s="331"/>
      <c r="BN129" s="331"/>
      <c r="BO129" s="331"/>
      <c r="BP129" s="331"/>
      <c r="BQ129" s="331"/>
      <c r="BR129" s="331"/>
      <c r="BS129" s="331"/>
      <c r="BT129" s="331"/>
      <c r="BU129" s="331"/>
      <c r="BV129" s="331"/>
      <c r="BW129" s="331"/>
      <c r="BX129" s="331"/>
      <c r="BY129" s="331"/>
      <c r="BZ129" s="331"/>
      <c r="CA129" s="331"/>
      <c r="CB129" s="331"/>
      <c r="CC129" s="331"/>
      <c r="CD129" s="331"/>
      <c r="CE129" s="331"/>
      <c r="CF129" s="331"/>
      <c r="CG129" s="331"/>
      <c r="CH129" s="331"/>
      <c r="CI129" s="331"/>
      <c r="CJ129" s="331"/>
      <c r="CK129" s="331"/>
      <c r="CL129" s="331"/>
      <c r="CM129" s="331"/>
      <c r="CN129" s="331"/>
      <c r="CO129" s="331"/>
      <c r="CP129" s="331"/>
      <c r="CQ129" s="331"/>
      <c r="CR129" s="331"/>
      <c r="CS129" s="331"/>
      <c r="CT129" s="331"/>
      <c r="CU129" s="331"/>
      <c r="CV129" s="331"/>
      <c r="CW129" s="331"/>
      <c r="CX129" s="331"/>
      <c r="CY129" s="331"/>
      <c r="CZ129" s="331"/>
      <c r="DA129" s="331"/>
      <c r="DB129" s="331"/>
      <c r="DC129" s="331"/>
      <c r="DD129" s="331"/>
      <c r="DE129" s="331"/>
      <c r="DF129" s="331"/>
      <c r="DG129" s="331"/>
      <c r="DH129" s="331"/>
      <c r="DI129" s="331"/>
      <c r="DJ129" s="331"/>
      <c r="DK129" s="331"/>
      <c r="DL129" s="331"/>
      <c r="DM129" s="331"/>
      <c r="DN129" s="331"/>
      <c r="DO129" s="331"/>
      <c r="DP129" s="331"/>
      <c r="DQ129" s="331"/>
      <c r="DR129" s="331"/>
      <c r="DS129" s="331"/>
      <c r="DT129" s="331"/>
      <c r="DU129" s="331"/>
      <c r="DV129" s="331"/>
      <c r="DW129" s="331"/>
      <c r="DX129" s="331"/>
      <c r="DY129" s="331"/>
    </row>
    <row r="130" spans="1:129" s="332" customFormat="1" ht="80.25" customHeight="1" x14ac:dyDescent="0.25">
      <c r="A130" s="259">
        <v>310</v>
      </c>
      <c r="B130" s="325" t="s">
        <v>326</v>
      </c>
      <c r="C130" s="259"/>
      <c r="D130" s="325"/>
      <c r="E130" s="259">
        <v>1</v>
      </c>
      <c r="F130" s="325" t="s">
        <v>112</v>
      </c>
      <c r="G130" s="259">
        <v>33</v>
      </c>
      <c r="H130" s="325" t="s">
        <v>123</v>
      </c>
      <c r="I130" s="259">
        <v>3302</v>
      </c>
      <c r="J130" s="385" t="s">
        <v>366</v>
      </c>
      <c r="K130" s="257">
        <v>3302078</v>
      </c>
      <c r="L130" s="393" t="s">
        <v>377</v>
      </c>
      <c r="M130" s="261">
        <v>330207800</v>
      </c>
      <c r="N130" s="393" t="s">
        <v>378</v>
      </c>
      <c r="O130" s="343" t="s">
        <v>67</v>
      </c>
      <c r="P130" s="272">
        <v>10</v>
      </c>
      <c r="Q130" s="272">
        <v>10</v>
      </c>
      <c r="R130" s="281">
        <v>2024003630046</v>
      </c>
      <c r="S130" s="435" t="s">
        <v>379</v>
      </c>
      <c r="T130" s="328"/>
      <c r="U130" s="328"/>
      <c r="V130" s="328"/>
      <c r="W130" s="328"/>
      <c r="X130" s="328"/>
      <c r="Y130" s="328"/>
      <c r="Z130" s="328"/>
      <c r="AA130" s="328"/>
      <c r="AB130" s="328"/>
      <c r="AC130" s="328"/>
      <c r="AD130" s="328"/>
      <c r="AE130" s="328"/>
      <c r="AF130" s="328"/>
      <c r="AG130" s="328"/>
      <c r="AH130" s="328"/>
      <c r="AI130" s="328"/>
      <c r="AJ130" s="328"/>
      <c r="AK130" s="328"/>
      <c r="AL130" s="404">
        <v>10000000</v>
      </c>
      <c r="AM130" s="404">
        <v>6500000</v>
      </c>
      <c r="AN130" s="404">
        <v>2200000</v>
      </c>
      <c r="AO130" s="328"/>
      <c r="AP130" s="328"/>
      <c r="AQ130" s="328"/>
      <c r="AR130" s="328"/>
      <c r="AS130" s="328"/>
      <c r="AT130" s="328"/>
      <c r="AU130" s="328">
        <f t="shared" si="8"/>
        <v>10000000</v>
      </c>
      <c r="AV130" s="328">
        <f t="shared" si="9"/>
        <v>6500000</v>
      </c>
      <c r="AW130" s="328">
        <f t="shared" si="10"/>
        <v>2200000</v>
      </c>
      <c r="AX130" s="385" t="s">
        <v>329</v>
      </c>
      <c r="AY130" s="331"/>
      <c r="AZ130" s="331"/>
      <c r="BA130" s="331"/>
      <c r="BB130" s="331"/>
      <c r="BC130" s="331"/>
      <c r="BD130" s="331"/>
      <c r="BE130" s="331"/>
      <c r="BF130" s="331"/>
      <c r="BG130" s="331"/>
      <c r="BH130" s="331"/>
      <c r="BI130" s="331"/>
      <c r="BJ130" s="331"/>
      <c r="BK130" s="331"/>
      <c r="BL130" s="331"/>
      <c r="BM130" s="331"/>
      <c r="BN130" s="331"/>
      <c r="BO130" s="331"/>
      <c r="BP130" s="331"/>
      <c r="BQ130" s="331"/>
      <c r="BR130" s="331"/>
      <c r="BS130" s="331"/>
      <c r="BT130" s="331"/>
      <c r="BU130" s="331"/>
      <c r="BV130" s="331"/>
      <c r="BW130" s="331"/>
      <c r="BX130" s="331"/>
      <c r="BY130" s="331"/>
      <c r="BZ130" s="331"/>
      <c r="CA130" s="331"/>
      <c r="CB130" s="331"/>
      <c r="CC130" s="331"/>
      <c r="CD130" s="331"/>
      <c r="CE130" s="331"/>
      <c r="CF130" s="331"/>
      <c r="CG130" s="331"/>
      <c r="CH130" s="331"/>
      <c r="CI130" s="331"/>
      <c r="CJ130" s="331"/>
      <c r="CK130" s="331"/>
      <c r="CL130" s="331"/>
      <c r="CM130" s="331"/>
      <c r="CN130" s="331"/>
      <c r="CO130" s="331"/>
      <c r="CP130" s="331"/>
      <c r="CQ130" s="331"/>
      <c r="CR130" s="331"/>
      <c r="CS130" s="331"/>
      <c r="CT130" s="331"/>
      <c r="CU130" s="331"/>
      <c r="CV130" s="331"/>
      <c r="CW130" s="331"/>
      <c r="CX130" s="331"/>
      <c r="CY130" s="331"/>
      <c r="CZ130" s="331"/>
      <c r="DA130" s="331"/>
      <c r="DB130" s="331"/>
      <c r="DC130" s="331"/>
      <c r="DD130" s="331"/>
      <c r="DE130" s="331"/>
      <c r="DF130" s="331"/>
      <c r="DG130" s="331"/>
      <c r="DH130" s="331"/>
      <c r="DI130" s="331"/>
      <c r="DJ130" s="331"/>
      <c r="DK130" s="331"/>
      <c r="DL130" s="331"/>
      <c r="DM130" s="331"/>
      <c r="DN130" s="331"/>
      <c r="DO130" s="331"/>
      <c r="DP130" s="331"/>
      <c r="DQ130" s="331"/>
      <c r="DR130" s="331"/>
      <c r="DS130" s="331"/>
      <c r="DT130" s="331"/>
      <c r="DU130" s="331"/>
      <c r="DV130" s="331"/>
      <c r="DW130" s="331"/>
      <c r="DX130" s="331"/>
      <c r="DY130" s="331"/>
    </row>
    <row r="131" spans="1:129" s="332" customFormat="1" ht="38.25" x14ac:dyDescent="0.25">
      <c r="A131" s="259">
        <v>310</v>
      </c>
      <c r="B131" s="325" t="s">
        <v>326</v>
      </c>
      <c r="C131" s="259"/>
      <c r="D131" s="325"/>
      <c r="E131" s="259">
        <v>1</v>
      </c>
      <c r="F131" s="325" t="s">
        <v>112</v>
      </c>
      <c r="G131" s="259">
        <v>33</v>
      </c>
      <c r="H131" s="325" t="s">
        <v>123</v>
      </c>
      <c r="I131" s="259">
        <v>3302</v>
      </c>
      <c r="J131" s="385" t="s">
        <v>366</v>
      </c>
      <c r="K131" s="282">
        <v>3302002</v>
      </c>
      <c r="L131" s="393" t="s">
        <v>380</v>
      </c>
      <c r="M131" s="261">
        <v>330200200</v>
      </c>
      <c r="N131" s="393" t="s">
        <v>356</v>
      </c>
      <c r="O131" s="343" t="s">
        <v>67</v>
      </c>
      <c r="P131" s="272">
        <v>2</v>
      </c>
      <c r="Q131" s="272">
        <v>1</v>
      </c>
      <c r="R131" s="281">
        <v>2024003630046</v>
      </c>
      <c r="S131" s="435" t="s">
        <v>375</v>
      </c>
      <c r="T131" s="343"/>
      <c r="U131" s="343"/>
      <c r="V131" s="343"/>
      <c r="W131" s="343"/>
      <c r="X131" s="343"/>
      <c r="Y131" s="343"/>
      <c r="Z131" s="343"/>
      <c r="AA131" s="343"/>
      <c r="AB131" s="343"/>
      <c r="AC131" s="343"/>
      <c r="AD131" s="343"/>
      <c r="AE131" s="343"/>
      <c r="AF131" s="343"/>
      <c r="AG131" s="343"/>
      <c r="AH131" s="343"/>
      <c r="AI131" s="343"/>
      <c r="AJ131" s="343"/>
      <c r="AK131" s="343"/>
      <c r="AL131" s="404">
        <v>15000000</v>
      </c>
      <c r="AM131" s="404">
        <v>7000000</v>
      </c>
      <c r="AN131" s="404">
        <v>6500000</v>
      </c>
      <c r="AO131" s="343"/>
      <c r="AP131" s="343"/>
      <c r="AQ131" s="343"/>
      <c r="AR131" s="343"/>
      <c r="AS131" s="343"/>
      <c r="AT131" s="343"/>
      <c r="AU131" s="328">
        <f t="shared" si="8"/>
        <v>15000000</v>
      </c>
      <c r="AV131" s="328">
        <f t="shared" si="9"/>
        <v>7000000</v>
      </c>
      <c r="AW131" s="328">
        <f t="shared" si="10"/>
        <v>6500000</v>
      </c>
      <c r="AX131" s="385" t="s">
        <v>329</v>
      </c>
      <c r="AY131" s="331"/>
      <c r="AZ131" s="331"/>
      <c r="BA131" s="331"/>
      <c r="BB131" s="331"/>
      <c r="BC131" s="331"/>
      <c r="BD131" s="331"/>
      <c r="BE131" s="331"/>
      <c r="BF131" s="331"/>
      <c r="BG131" s="331"/>
      <c r="BH131" s="331"/>
      <c r="BI131" s="331"/>
      <c r="BJ131" s="331"/>
      <c r="BK131" s="331"/>
      <c r="BL131" s="331"/>
      <c r="BM131" s="331"/>
      <c r="BN131" s="331"/>
      <c r="BO131" s="331"/>
      <c r="BP131" s="331"/>
      <c r="BQ131" s="331"/>
      <c r="BR131" s="331"/>
      <c r="BS131" s="331"/>
      <c r="BT131" s="331"/>
      <c r="BU131" s="331"/>
      <c r="BV131" s="331"/>
      <c r="BW131" s="331"/>
      <c r="BX131" s="331"/>
      <c r="BY131" s="331"/>
      <c r="BZ131" s="331"/>
      <c r="CA131" s="331"/>
      <c r="CB131" s="331"/>
      <c r="CC131" s="331"/>
      <c r="CD131" s="331"/>
      <c r="CE131" s="331"/>
      <c r="CF131" s="331"/>
      <c r="CG131" s="331"/>
      <c r="CH131" s="331"/>
      <c r="CI131" s="331"/>
      <c r="CJ131" s="331"/>
      <c r="CK131" s="331"/>
      <c r="CL131" s="331"/>
      <c r="CM131" s="331"/>
      <c r="CN131" s="331"/>
      <c r="CO131" s="331"/>
      <c r="CP131" s="331"/>
      <c r="CQ131" s="331"/>
      <c r="CR131" s="331"/>
      <c r="CS131" s="331"/>
      <c r="CT131" s="331"/>
      <c r="CU131" s="331"/>
      <c r="CV131" s="331"/>
      <c r="CW131" s="331"/>
      <c r="CX131" s="331"/>
      <c r="CY131" s="331"/>
      <c r="CZ131" s="331"/>
      <c r="DA131" s="331"/>
      <c r="DB131" s="331"/>
      <c r="DC131" s="331"/>
      <c r="DD131" s="331"/>
      <c r="DE131" s="331"/>
      <c r="DF131" s="331"/>
      <c r="DG131" s="331"/>
      <c r="DH131" s="331"/>
      <c r="DI131" s="331"/>
      <c r="DJ131" s="331"/>
      <c r="DK131" s="331"/>
      <c r="DL131" s="331"/>
      <c r="DM131" s="331"/>
      <c r="DN131" s="331"/>
      <c r="DO131" s="331"/>
      <c r="DP131" s="331"/>
      <c r="DQ131" s="331"/>
      <c r="DR131" s="331"/>
      <c r="DS131" s="331"/>
      <c r="DT131" s="331"/>
      <c r="DU131" s="331"/>
      <c r="DV131" s="331"/>
      <c r="DW131" s="331"/>
      <c r="DX131" s="331"/>
      <c r="DY131" s="331"/>
    </row>
    <row r="132" spans="1:129" s="331" customFormat="1" ht="63.75" x14ac:dyDescent="0.25">
      <c r="A132" s="257">
        <v>311</v>
      </c>
      <c r="B132" s="376" t="s">
        <v>381</v>
      </c>
      <c r="C132" s="13">
        <v>2</v>
      </c>
      <c r="D132" s="376" t="s">
        <v>382</v>
      </c>
      <c r="E132" s="13">
        <v>3</v>
      </c>
      <c r="F132" s="376" t="s">
        <v>147</v>
      </c>
      <c r="G132" s="257">
        <v>35</v>
      </c>
      <c r="H132" s="376" t="s">
        <v>383</v>
      </c>
      <c r="I132" s="257">
        <v>3502</v>
      </c>
      <c r="J132" s="376" t="s">
        <v>384</v>
      </c>
      <c r="K132" s="281">
        <v>3502006</v>
      </c>
      <c r="L132" s="376" t="s">
        <v>385</v>
      </c>
      <c r="M132" s="257" t="s">
        <v>386</v>
      </c>
      <c r="N132" s="388" t="s">
        <v>387</v>
      </c>
      <c r="O132" s="439" t="s">
        <v>67</v>
      </c>
      <c r="P132" s="280">
        <v>1</v>
      </c>
      <c r="Q132" s="280">
        <v>1</v>
      </c>
      <c r="R132" s="380">
        <v>2020003630074</v>
      </c>
      <c r="S132" s="445" t="s">
        <v>388</v>
      </c>
      <c r="T132" s="381"/>
      <c r="U132" s="381"/>
      <c r="V132" s="381"/>
      <c r="W132" s="381"/>
      <c r="X132" s="381"/>
      <c r="Y132" s="381"/>
      <c r="Z132" s="381"/>
      <c r="AA132" s="381"/>
      <c r="AB132" s="381"/>
      <c r="AC132" s="381"/>
      <c r="AD132" s="381"/>
      <c r="AE132" s="381"/>
      <c r="AF132" s="381"/>
      <c r="AG132" s="381"/>
      <c r="AH132" s="381"/>
      <c r="AI132" s="381"/>
      <c r="AJ132" s="381"/>
      <c r="AK132" s="381"/>
      <c r="AL132" s="381">
        <f>58000000-2400000</f>
        <v>55600000</v>
      </c>
      <c r="AM132" s="381">
        <v>55600000</v>
      </c>
      <c r="AN132" s="381">
        <v>55600000</v>
      </c>
      <c r="AO132" s="381"/>
      <c r="AP132" s="381"/>
      <c r="AQ132" s="381"/>
      <c r="AR132" s="381"/>
      <c r="AS132" s="381"/>
      <c r="AT132" s="381"/>
      <c r="AU132" s="381">
        <f t="shared" si="8"/>
        <v>55600000</v>
      </c>
      <c r="AV132" s="381">
        <f t="shared" si="9"/>
        <v>55600000</v>
      </c>
      <c r="AW132" s="381">
        <f t="shared" si="10"/>
        <v>55600000</v>
      </c>
      <c r="AX132" s="392" t="s">
        <v>389</v>
      </c>
    </row>
    <row r="133" spans="1:129" s="331" customFormat="1" ht="63.75" x14ac:dyDescent="0.25">
      <c r="A133" s="292">
        <v>311</v>
      </c>
      <c r="B133" s="454" t="s">
        <v>381</v>
      </c>
      <c r="C133" s="344">
        <v>2</v>
      </c>
      <c r="D133" s="454" t="s">
        <v>382</v>
      </c>
      <c r="E133" s="344">
        <v>2</v>
      </c>
      <c r="F133" s="376" t="s">
        <v>159</v>
      </c>
      <c r="G133" s="257">
        <v>35</v>
      </c>
      <c r="H133" s="376" t="s">
        <v>383</v>
      </c>
      <c r="I133" s="257">
        <v>3502</v>
      </c>
      <c r="J133" s="376" t="s">
        <v>384</v>
      </c>
      <c r="K133" s="257">
        <v>3502007</v>
      </c>
      <c r="L133" s="376" t="s">
        <v>390</v>
      </c>
      <c r="M133" s="257">
        <v>350200700</v>
      </c>
      <c r="N133" s="388" t="s">
        <v>391</v>
      </c>
      <c r="O133" s="439" t="s">
        <v>26</v>
      </c>
      <c r="P133" s="280">
        <v>7</v>
      </c>
      <c r="Q133" s="280">
        <v>7</v>
      </c>
      <c r="R133" s="380">
        <v>2020003630074</v>
      </c>
      <c r="S133" s="445" t="s">
        <v>388</v>
      </c>
      <c r="T133" s="381"/>
      <c r="U133" s="381"/>
      <c r="V133" s="381"/>
      <c r="W133" s="381"/>
      <c r="X133" s="381"/>
      <c r="Y133" s="381"/>
      <c r="Z133" s="381"/>
      <c r="AA133" s="381"/>
      <c r="AB133" s="381"/>
      <c r="AC133" s="381"/>
      <c r="AD133" s="381"/>
      <c r="AE133" s="381"/>
      <c r="AF133" s="381"/>
      <c r="AG133" s="381"/>
      <c r="AH133" s="381"/>
      <c r="AI133" s="381"/>
      <c r="AJ133" s="381"/>
      <c r="AK133" s="381"/>
      <c r="AL133" s="381">
        <v>30000000</v>
      </c>
      <c r="AM133" s="381">
        <v>30000000</v>
      </c>
      <c r="AN133" s="381">
        <v>30000000</v>
      </c>
      <c r="AO133" s="381"/>
      <c r="AP133" s="381"/>
      <c r="AQ133" s="381"/>
      <c r="AR133" s="381"/>
      <c r="AS133" s="381"/>
      <c r="AT133" s="381"/>
      <c r="AU133" s="381">
        <f t="shared" si="8"/>
        <v>30000000</v>
      </c>
      <c r="AV133" s="381">
        <f t="shared" si="9"/>
        <v>30000000</v>
      </c>
      <c r="AW133" s="381">
        <f t="shared" si="10"/>
        <v>30000000</v>
      </c>
      <c r="AX133" s="392" t="s">
        <v>389</v>
      </c>
    </row>
    <row r="134" spans="1:129" s="332" customFormat="1" ht="63.75" x14ac:dyDescent="0.25">
      <c r="A134" s="259">
        <v>311</v>
      </c>
      <c r="B134" s="325" t="s">
        <v>381</v>
      </c>
      <c r="C134" s="306"/>
      <c r="D134" s="325"/>
      <c r="E134" s="306">
        <v>3</v>
      </c>
      <c r="F134" s="325" t="s">
        <v>147</v>
      </c>
      <c r="G134" s="259">
        <v>35</v>
      </c>
      <c r="H134" s="325" t="s">
        <v>383</v>
      </c>
      <c r="I134" s="259">
        <v>3502</v>
      </c>
      <c r="J134" s="325" t="s">
        <v>384</v>
      </c>
      <c r="K134" s="313">
        <v>3502006</v>
      </c>
      <c r="L134" s="325" t="s">
        <v>385</v>
      </c>
      <c r="M134" s="259">
        <v>350200600</v>
      </c>
      <c r="N134" s="333" t="s">
        <v>392</v>
      </c>
      <c r="O134" s="441" t="s">
        <v>26</v>
      </c>
      <c r="P134" s="272">
        <v>1</v>
      </c>
      <c r="Q134" s="272">
        <v>0.97</v>
      </c>
      <c r="R134" s="281">
        <v>2024003630055</v>
      </c>
      <c r="S134" s="435" t="s">
        <v>393</v>
      </c>
      <c r="T134" s="328"/>
      <c r="U134" s="328"/>
      <c r="V134" s="328"/>
      <c r="W134" s="328"/>
      <c r="X134" s="328"/>
      <c r="Y134" s="328"/>
      <c r="Z134" s="328"/>
      <c r="AA134" s="328"/>
      <c r="AB134" s="328"/>
      <c r="AC134" s="328"/>
      <c r="AD134" s="328"/>
      <c r="AE134" s="328"/>
      <c r="AF134" s="328"/>
      <c r="AG134" s="328"/>
      <c r="AH134" s="328"/>
      <c r="AI134" s="328"/>
      <c r="AJ134" s="328"/>
      <c r="AK134" s="328"/>
      <c r="AL134" s="328">
        <v>5400000</v>
      </c>
      <c r="AM134" s="328">
        <v>5400000</v>
      </c>
      <c r="AN134" s="328">
        <v>3700000</v>
      </c>
      <c r="AO134" s="328"/>
      <c r="AP134" s="328"/>
      <c r="AQ134" s="328"/>
      <c r="AR134" s="328"/>
      <c r="AS134" s="328"/>
      <c r="AT134" s="328"/>
      <c r="AU134" s="328">
        <f t="shared" si="8"/>
        <v>5400000</v>
      </c>
      <c r="AV134" s="328">
        <f t="shared" si="9"/>
        <v>5400000</v>
      </c>
      <c r="AW134" s="328">
        <f t="shared" si="10"/>
        <v>3700000</v>
      </c>
      <c r="AX134" s="385" t="s">
        <v>389</v>
      </c>
      <c r="AY134" s="331"/>
      <c r="AZ134" s="331"/>
      <c r="BA134" s="331"/>
      <c r="BB134" s="331"/>
      <c r="BC134" s="331"/>
      <c r="BD134" s="331"/>
      <c r="BE134" s="331"/>
      <c r="BF134" s="331"/>
      <c r="BG134" s="331"/>
      <c r="BH134" s="331"/>
      <c r="BI134" s="331"/>
      <c r="BJ134" s="331"/>
      <c r="BK134" s="331"/>
      <c r="BL134" s="331"/>
      <c r="BM134" s="331"/>
      <c r="BN134" s="331"/>
      <c r="BO134" s="331"/>
      <c r="BP134" s="331"/>
      <c r="BQ134" s="331"/>
      <c r="BR134" s="331"/>
      <c r="BS134" s="331"/>
      <c r="BT134" s="331"/>
      <c r="BU134" s="331"/>
      <c r="BV134" s="331"/>
      <c r="BW134" s="331"/>
      <c r="BX134" s="331"/>
      <c r="BY134" s="331"/>
      <c r="BZ134" s="331"/>
      <c r="CA134" s="331"/>
      <c r="CB134" s="331"/>
      <c r="CC134" s="331"/>
      <c r="CD134" s="331"/>
      <c r="CE134" s="331"/>
      <c r="CF134" s="331"/>
      <c r="CG134" s="331"/>
      <c r="CH134" s="331"/>
      <c r="CI134" s="331"/>
      <c r="CJ134" s="331"/>
      <c r="CK134" s="331"/>
      <c r="CL134" s="331"/>
      <c r="CM134" s="331"/>
      <c r="CN134" s="331"/>
      <c r="CO134" s="331"/>
      <c r="CP134" s="331"/>
      <c r="CQ134" s="331"/>
      <c r="CR134" s="331"/>
      <c r="CS134" s="331"/>
      <c r="CT134" s="331"/>
      <c r="CU134" s="331"/>
      <c r="CV134" s="331"/>
      <c r="CW134" s="331"/>
      <c r="CX134" s="331"/>
      <c r="CY134" s="331"/>
      <c r="CZ134" s="331"/>
      <c r="DA134" s="331"/>
      <c r="DB134" s="331"/>
      <c r="DC134" s="331"/>
      <c r="DD134" s="331"/>
      <c r="DE134" s="331"/>
      <c r="DF134" s="331"/>
      <c r="DG134" s="331"/>
      <c r="DH134" s="331"/>
      <c r="DI134" s="331"/>
      <c r="DJ134" s="331"/>
      <c r="DK134" s="331"/>
      <c r="DL134" s="331"/>
      <c r="DM134" s="331"/>
      <c r="DN134" s="331"/>
      <c r="DO134" s="331"/>
      <c r="DP134" s="331"/>
      <c r="DQ134" s="331"/>
      <c r="DR134" s="331"/>
      <c r="DS134" s="331"/>
      <c r="DT134" s="331"/>
      <c r="DU134" s="331"/>
      <c r="DV134" s="331"/>
      <c r="DW134" s="331"/>
      <c r="DX134" s="331"/>
      <c r="DY134" s="331"/>
    </row>
    <row r="135" spans="1:129" s="332" customFormat="1" ht="63.75" x14ac:dyDescent="0.25">
      <c r="A135" s="325">
        <v>311</v>
      </c>
      <c r="B135" s="325" t="s">
        <v>381</v>
      </c>
      <c r="C135" s="306"/>
      <c r="D135" s="325"/>
      <c r="E135" s="306">
        <v>2</v>
      </c>
      <c r="F135" s="325" t="s">
        <v>159</v>
      </c>
      <c r="G135" s="259">
        <v>35</v>
      </c>
      <c r="H135" s="325" t="s">
        <v>383</v>
      </c>
      <c r="I135" s="259">
        <v>3502</v>
      </c>
      <c r="J135" s="325" t="s">
        <v>384</v>
      </c>
      <c r="K135" s="259">
        <v>3502007</v>
      </c>
      <c r="L135" s="325" t="s">
        <v>394</v>
      </c>
      <c r="M135" s="259">
        <v>350200700</v>
      </c>
      <c r="N135" s="333" t="s">
        <v>391</v>
      </c>
      <c r="O135" s="441" t="s">
        <v>26</v>
      </c>
      <c r="P135" s="272">
        <v>7</v>
      </c>
      <c r="Q135" s="272">
        <v>7</v>
      </c>
      <c r="R135" s="281">
        <v>2024003630055</v>
      </c>
      <c r="S135" s="435" t="s">
        <v>393</v>
      </c>
      <c r="T135" s="328"/>
      <c r="U135" s="328"/>
      <c r="V135" s="328"/>
      <c r="W135" s="328"/>
      <c r="X135" s="328"/>
      <c r="Y135" s="328"/>
      <c r="Z135" s="328"/>
      <c r="AA135" s="328"/>
      <c r="AB135" s="328"/>
      <c r="AC135" s="328"/>
      <c r="AD135" s="328"/>
      <c r="AE135" s="328"/>
      <c r="AF135" s="328"/>
      <c r="AG135" s="328"/>
      <c r="AH135" s="328"/>
      <c r="AI135" s="328"/>
      <c r="AJ135" s="328"/>
      <c r="AK135" s="328"/>
      <c r="AL135" s="328">
        <f>7000000+30000000</f>
        <v>37000000</v>
      </c>
      <c r="AM135" s="328">
        <v>37000000</v>
      </c>
      <c r="AN135" s="328">
        <v>34300000</v>
      </c>
      <c r="AO135" s="328"/>
      <c r="AP135" s="328"/>
      <c r="AQ135" s="328"/>
      <c r="AR135" s="328"/>
      <c r="AS135" s="328"/>
      <c r="AT135" s="328"/>
      <c r="AU135" s="328">
        <f t="shared" si="8"/>
        <v>37000000</v>
      </c>
      <c r="AV135" s="328">
        <f t="shared" si="9"/>
        <v>37000000</v>
      </c>
      <c r="AW135" s="328">
        <f t="shared" si="10"/>
        <v>34300000</v>
      </c>
      <c r="AX135" s="385" t="s">
        <v>389</v>
      </c>
      <c r="AY135" s="331"/>
      <c r="AZ135" s="331"/>
      <c r="BA135" s="331"/>
      <c r="BB135" s="331"/>
      <c r="BC135" s="331"/>
      <c r="BD135" s="331"/>
      <c r="BE135" s="331"/>
      <c r="BF135" s="331"/>
      <c r="BG135" s="331"/>
      <c r="BH135" s="331"/>
      <c r="BI135" s="331"/>
      <c r="BJ135" s="331"/>
      <c r="BK135" s="331"/>
      <c r="BL135" s="331"/>
      <c r="BM135" s="331"/>
      <c r="BN135" s="331"/>
      <c r="BO135" s="331"/>
      <c r="BP135" s="331"/>
      <c r="BQ135" s="331"/>
      <c r="BR135" s="331"/>
      <c r="BS135" s="331"/>
      <c r="BT135" s="331"/>
      <c r="BU135" s="331"/>
      <c r="BV135" s="331"/>
      <c r="BW135" s="331"/>
      <c r="BX135" s="331"/>
      <c r="BY135" s="331"/>
      <c r="BZ135" s="331"/>
      <c r="CA135" s="331"/>
      <c r="CB135" s="331"/>
      <c r="CC135" s="331"/>
      <c r="CD135" s="331"/>
      <c r="CE135" s="331"/>
      <c r="CF135" s="331"/>
      <c r="CG135" s="331"/>
      <c r="CH135" s="331"/>
      <c r="CI135" s="331"/>
      <c r="CJ135" s="331"/>
      <c r="CK135" s="331"/>
      <c r="CL135" s="331"/>
      <c r="CM135" s="331"/>
      <c r="CN135" s="331"/>
      <c r="CO135" s="331"/>
      <c r="CP135" s="331"/>
      <c r="CQ135" s="331"/>
      <c r="CR135" s="331"/>
      <c r="CS135" s="331"/>
      <c r="CT135" s="331"/>
      <c r="CU135" s="331"/>
      <c r="CV135" s="331"/>
      <c r="CW135" s="331"/>
      <c r="CX135" s="331"/>
      <c r="CY135" s="331"/>
      <c r="CZ135" s="331"/>
      <c r="DA135" s="331"/>
      <c r="DB135" s="331"/>
      <c r="DC135" s="331"/>
      <c r="DD135" s="331"/>
      <c r="DE135" s="331"/>
      <c r="DF135" s="331"/>
      <c r="DG135" s="331"/>
      <c r="DH135" s="331"/>
      <c r="DI135" s="331"/>
      <c r="DJ135" s="331"/>
      <c r="DK135" s="331"/>
      <c r="DL135" s="331"/>
      <c r="DM135" s="331"/>
      <c r="DN135" s="331"/>
      <c r="DO135" s="331"/>
      <c r="DP135" s="331"/>
      <c r="DQ135" s="331"/>
      <c r="DR135" s="331"/>
      <c r="DS135" s="331"/>
      <c r="DT135" s="331"/>
      <c r="DU135" s="331"/>
      <c r="DV135" s="331"/>
      <c r="DW135" s="331"/>
      <c r="DX135" s="331"/>
      <c r="DY135" s="331"/>
    </row>
    <row r="136" spans="1:129" s="332" customFormat="1" ht="63.75" x14ac:dyDescent="0.25">
      <c r="A136" s="259">
        <v>311</v>
      </c>
      <c r="B136" s="325" t="s">
        <v>381</v>
      </c>
      <c r="C136" s="306"/>
      <c r="D136" s="325"/>
      <c r="E136" s="306">
        <v>2</v>
      </c>
      <c r="F136" s="325" t="s">
        <v>159</v>
      </c>
      <c r="G136" s="259">
        <v>35</v>
      </c>
      <c r="H136" s="325" t="s">
        <v>383</v>
      </c>
      <c r="I136" s="259">
        <v>3502</v>
      </c>
      <c r="J136" s="325" t="s">
        <v>384</v>
      </c>
      <c r="K136" s="282">
        <v>3502107</v>
      </c>
      <c r="L136" s="325" t="s">
        <v>395</v>
      </c>
      <c r="M136" s="259">
        <v>350210700</v>
      </c>
      <c r="N136" s="333" t="s">
        <v>396</v>
      </c>
      <c r="O136" s="441" t="s">
        <v>26</v>
      </c>
      <c r="P136" s="272">
        <v>1</v>
      </c>
      <c r="Q136" s="272">
        <v>0.8</v>
      </c>
      <c r="R136" s="281">
        <v>2024003630055</v>
      </c>
      <c r="S136" s="435" t="s">
        <v>393</v>
      </c>
      <c r="T136" s="328"/>
      <c r="U136" s="328"/>
      <c r="V136" s="328"/>
      <c r="W136" s="328"/>
      <c r="X136" s="328"/>
      <c r="Y136" s="328"/>
      <c r="Z136" s="328"/>
      <c r="AA136" s="328"/>
      <c r="AB136" s="328"/>
      <c r="AC136" s="328"/>
      <c r="AD136" s="328"/>
      <c r="AE136" s="328"/>
      <c r="AF136" s="328"/>
      <c r="AG136" s="328"/>
      <c r="AH136" s="328"/>
      <c r="AI136" s="328"/>
      <c r="AJ136" s="328"/>
      <c r="AK136" s="328"/>
      <c r="AL136" s="328">
        <v>30000000</v>
      </c>
      <c r="AM136" s="328">
        <v>24970000</v>
      </c>
      <c r="AN136" s="328">
        <v>8600000</v>
      </c>
      <c r="AO136" s="328"/>
      <c r="AP136" s="328"/>
      <c r="AQ136" s="328"/>
      <c r="AR136" s="328"/>
      <c r="AS136" s="328"/>
      <c r="AT136" s="328"/>
      <c r="AU136" s="328">
        <f t="shared" si="8"/>
        <v>30000000</v>
      </c>
      <c r="AV136" s="328">
        <f t="shared" si="9"/>
        <v>24970000</v>
      </c>
      <c r="AW136" s="328">
        <f t="shared" si="10"/>
        <v>8600000</v>
      </c>
      <c r="AX136" s="385" t="s">
        <v>389</v>
      </c>
      <c r="AY136" s="331"/>
      <c r="AZ136" s="331"/>
      <c r="BA136" s="331"/>
      <c r="BB136" s="331"/>
      <c r="BC136" s="331"/>
      <c r="BD136" s="331"/>
      <c r="BE136" s="331"/>
      <c r="BF136" s="331"/>
      <c r="BG136" s="331"/>
      <c r="BH136" s="331"/>
      <c r="BI136" s="331"/>
      <c r="BJ136" s="331"/>
      <c r="BK136" s="331"/>
      <c r="BL136" s="331"/>
      <c r="BM136" s="331"/>
      <c r="BN136" s="331"/>
      <c r="BO136" s="331"/>
      <c r="BP136" s="331"/>
      <c r="BQ136" s="331"/>
      <c r="BR136" s="331"/>
      <c r="BS136" s="331"/>
      <c r="BT136" s="331"/>
      <c r="BU136" s="331"/>
      <c r="BV136" s="331"/>
      <c r="BW136" s="331"/>
      <c r="BX136" s="331"/>
      <c r="BY136" s="331"/>
      <c r="BZ136" s="331"/>
      <c r="CA136" s="331"/>
      <c r="CB136" s="331"/>
      <c r="CC136" s="331"/>
      <c r="CD136" s="331"/>
      <c r="CE136" s="331"/>
      <c r="CF136" s="331"/>
      <c r="CG136" s="331"/>
      <c r="CH136" s="331"/>
      <c r="CI136" s="331"/>
      <c r="CJ136" s="331"/>
      <c r="CK136" s="331"/>
      <c r="CL136" s="331"/>
      <c r="CM136" s="331"/>
      <c r="CN136" s="331"/>
      <c r="CO136" s="331"/>
      <c r="CP136" s="331"/>
      <c r="CQ136" s="331"/>
      <c r="CR136" s="331"/>
      <c r="CS136" s="331"/>
      <c r="CT136" s="331"/>
      <c r="CU136" s="331"/>
      <c r="CV136" s="331"/>
      <c r="CW136" s="331"/>
      <c r="CX136" s="331"/>
      <c r="CY136" s="331"/>
      <c r="CZ136" s="331"/>
      <c r="DA136" s="331"/>
      <c r="DB136" s="331"/>
      <c r="DC136" s="331"/>
      <c r="DD136" s="331"/>
      <c r="DE136" s="331"/>
      <c r="DF136" s="331"/>
      <c r="DG136" s="331"/>
      <c r="DH136" s="331"/>
      <c r="DI136" s="331"/>
      <c r="DJ136" s="331"/>
      <c r="DK136" s="331"/>
      <c r="DL136" s="331"/>
      <c r="DM136" s="331"/>
      <c r="DN136" s="331"/>
      <c r="DO136" s="331"/>
      <c r="DP136" s="331"/>
      <c r="DQ136" s="331"/>
      <c r="DR136" s="331"/>
      <c r="DS136" s="331"/>
      <c r="DT136" s="331"/>
      <c r="DU136" s="331"/>
      <c r="DV136" s="331"/>
      <c r="DW136" s="331"/>
      <c r="DX136" s="331"/>
      <c r="DY136" s="331"/>
    </row>
    <row r="137" spans="1:129" s="331" customFormat="1" ht="63.75" x14ac:dyDescent="0.25">
      <c r="A137" s="257">
        <v>311</v>
      </c>
      <c r="B137" s="376" t="s">
        <v>381</v>
      </c>
      <c r="C137" s="13">
        <v>2</v>
      </c>
      <c r="D137" s="376" t="s">
        <v>382</v>
      </c>
      <c r="E137" s="13">
        <v>3</v>
      </c>
      <c r="F137" s="376" t="s">
        <v>147</v>
      </c>
      <c r="G137" s="257">
        <v>35</v>
      </c>
      <c r="H137" s="376" t="s">
        <v>383</v>
      </c>
      <c r="I137" s="257">
        <v>3502</v>
      </c>
      <c r="J137" s="376" t="s">
        <v>384</v>
      </c>
      <c r="K137" s="337">
        <v>3502039</v>
      </c>
      <c r="L137" s="376" t="s">
        <v>397</v>
      </c>
      <c r="M137" s="257" t="s">
        <v>398</v>
      </c>
      <c r="N137" s="388" t="s">
        <v>84</v>
      </c>
      <c r="O137" s="439" t="s">
        <v>26</v>
      </c>
      <c r="P137" s="280">
        <v>12</v>
      </c>
      <c r="Q137" s="280">
        <v>12</v>
      </c>
      <c r="R137" s="380">
        <v>2020003630076</v>
      </c>
      <c r="S137" s="445" t="s">
        <v>399</v>
      </c>
      <c r="T137" s="381"/>
      <c r="U137" s="381"/>
      <c r="V137" s="381"/>
      <c r="W137" s="381"/>
      <c r="X137" s="381"/>
      <c r="Y137" s="381"/>
      <c r="Z137" s="381"/>
      <c r="AA137" s="381"/>
      <c r="AB137" s="381"/>
      <c r="AC137" s="381"/>
      <c r="AD137" s="381"/>
      <c r="AE137" s="381"/>
      <c r="AF137" s="381"/>
      <c r="AG137" s="381"/>
      <c r="AH137" s="381"/>
      <c r="AI137" s="381"/>
      <c r="AJ137" s="381"/>
      <c r="AK137" s="381"/>
      <c r="AL137" s="381">
        <f>535133951.45-117546951.45</f>
        <v>417587000</v>
      </c>
      <c r="AM137" s="381">
        <v>414587000</v>
      </c>
      <c r="AN137" s="381">
        <v>396447439.67000002</v>
      </c>
      <c r="AO137" s="381">
        <f>500000000-500000000</f>
        <v>0</v>
      </c>
      <c r="AP137" s="381"/>
      <c r="AQ137" s="381"/>
      <c r="AR137" s="381"/>
      <c r="AS137" s="381"/>
      <c r="AT137" s="381"/>
      <c r="AU137" s="381">
        <f t="shared" si="8"/>
        <v>417587000</v>
      </c>
      <c r="AV137" s="381">
        <f t="shared" si="9"/>
        <v>414587000</v>
      </c>
      <c r="AW137" s="381">
        <f t="shared" si="10"/>
        <v>396447439.67000002</v>
      </c>
      <c r="AX137" s="392" t="s">
        <v>389</v>
      </c>
    </row>
    <row r="138" spans="1:129" s="332" customFormat="1" ht="63.75" x14ac:dyDescent="0.25">
      <c r="A138" s="259">
        <v>311</v>
      </c>
      <c r="B138" s="325" t="s">
        <v>381</v>
      </c>
      <c r="C138" s="306"/>
      <c r="D138" s="325"/>
      <c r="E138" s="306">
        <v>3</v>
      </c>
      <c r="F138" s="325" t="s">
        <v>147</v>
      </c>
      <c r="G138" s="259">
        <v>35</v>
      </c>
      <c r="H138" s="325" t="s">
        <v>383</v>
      </c>
      <c r="I138" s="259">
        <v>3502</v>
      </c>
      <c r="J138" s="325" t="s">
        <v>384</v>
      </c>
      <c r="K138" s="259">
        <v>3502039</v>
      </c>
      <c r="L138" s="325" t="s">
        <v>397</v>
      </c>
      <c r="M138" s="259">
        <v>350203900</v>
      </c>
      <c r="N138" s="333" t="s">
        <v>84</v>
      </c>
      <c r="O138" s="441" t="s">
        <v>26</v>
      </c>
      <c r="P138" s="272">
        <v>12</v>
      </c>
      <c r="Q138" s="272">
        <v>12</v>
      </c>
      <c r="R138" s="281">
        <v>2024003630069</v>
      </c>
      <c r="S138" s="435" t="s">
        <v>400</v>
      </c>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v>250196951.44999999</v>
      </c>
      <c r="AP138" s="328">
        <v>196009764</v>
      </c>
      <c r="AQ138" s="328">
        <v>104100000</v>
      </c>
      <c r="AR138" s="328"/>
      <c r="AS138" s="328"/>
      <c r="AT138" s="328"/>
      <c r="AU138" s="328">
        <f t="shared" si="8"/>
        <v>250196951.44999999</v>
      </c>
      <c r="AV138" s="328">
        <f t="shared" si="9"/>
        <v>196009764</v>
      </c>
      <c r="AW138" s="328">
        <f t="shared" si="10"/>
        <v>104100000</v>
      </c>
      <c r="AX138" s="385" t="s">
        <v>389</v>
      </c>
      <c r="AY138" s="331"/>
      <c r="AZ138" s="331"/>
      <c r="BA138" s="331"/>
      <c r="BB138" s="331"/>
      <c r="BC138" s="331"/>
      <c r="BD138" s="331"/>
      <c r="BE138" s="331"/>
      <c r="BF138" s="331"/>
      <c r="BG138" s="331"/>
      <c r="BH138" s="331"/>
      <c r="BI138" s="331"/>
      <c r="BJ138" s="331"/>
      <c r="BK138" s="331"/>
      <c r="BL138" s="331"/>
      <c r="BM138" s="331"/>
      <c r="BN138" s="331"/>
      <c r="BO138" s="331"/>
      <c r="BP138" s="331"/>
      <c r="BQ138" s="331"/>
      <c r="BR138" s="331"/>
      <c r="BS138" s="331"/>
      <c r="BT138" s="331"/>
      <c r="BU138" s="331"/>
      <c r="BV138" s="331"/>
      <c r="BW138" s="331"/>
      <c r="BX138" s="331"/>
      <c r="BY138" s="331"/>
      <c r="BZ138" s="331"/>
      <c r="CA138" s="331"/>
      <c r="CB138" s="331"/>
      <c r="CC138" s="331"/>
      <c r="CD138" s="331"/>
      <c r="CE138" s="331"/>
      <c r="CF138" s="331"/>
      <c r="CG138" s="331"/>
      <c r="CH138" s="331"/>
      <c r="CI138" s="331"/>
      <c r="CJ138" s="331"/>
      <c r="CK138" s="331"/>
      <c r="CL138" s="331"/>
      <c r="CM138" s="331"/>
      <c r="CN138" s="331"/>
      <c r="CO138" s="331"/>
      <c r="CP138" s="331"/>
      <c r="CQ138" s="331"/>
      <c r="CR138" s="331"/>
      <c r="CS138" s="331"/>
      <c r="CT138" s="331"/>
      <c r="CU138" s="331"/>
      <c r="CV138" s="331"/>
      <c r="CW138" s="331"/>
      <c r="CX138" s="331"/>
      <c r="CY138" s="331"/>
      <c r="CZ138" s="331"/>
      <c r="DA138" s="331"/>
      <c r="DB138" s="331"/>
      <c r="DC138" s="331"/>
      <c r="DD138" s="331"/>
      <c r="DE138" s="331"/>
      <c r="DF138" s="331"/>
      <c r="DG138" s="331"/>
      <c r="DH138" s="331"/>
      <c r="DI138" s="331"/>
      <c r="DJ138" s="331"/>
      <c r="DK138" s="331"/>
      <c r="DL138" s="331"/>
      <c r="DM138" s="331"/>
      <c r="DN138" s="331"/>
      <c r="DO138" s="331"/>
      <c r="DP138" s="331"/>
      <c r="DQ138" s="331"/>
      <c r="DR138" s="331"/>
      <c r="DS138" s="331"/>
      <c r="DT138" s="331"/>
      <c r="DU138" s="331"/>
      <c r="DV138" s="331"/>
      <c r="DW138" s="331"/>
      <c r="DX138" s="331"/>
      <c r="DY138" s="331"/>
    </row>
    <row r="139" spans="1:129" s="332" customFormat="1" ht="63.75" x14ac:dyDescent="0.25">
      <c r="A139" s="259">
        <v>311</v>
      </c>
      <c r="B139" s="325" t="s">
        <v>381</v>
      </c>
      <c r="C139" s="306"/>
      <c r="D139" s="325"/>
      <c r="E139" s="306">
        <v>3</v>
      </c>
      <c r="F139" s="325" t="s">
        <v>147</v>
      </c>
      <c r="G139" s="259">
        <v>35</v>
      </c>
      <c r="H139" s="325" t="s">
        <v>383</v>
      </c>
      <c r="I139" s="259">
        <v>3502</v>
      </c>
      <c r="J139" s="325" t="s">
        <v>384</v>
      </c>
      <c r="K139" s="313">
        <v>3502039</v>
      </c>
      <c r="L139" s="325" t="s">
        <v>397</v>
      </c>
      <c r="M139" s="259">
        <v>350203910</v>
      </c>
      <c r="N139" s="333" t="s">
        <v>401</v>
      </c>
      <c r="O139" s="282" t="s">
        <v>67</v>
      </c>
      <c r="P139" s="272">
        <v>1</v>
      </c>
      <c r="Q139" s="272">
        <v>0</v>
      </c>
      <c r="R139" s="281">
        <v>2024003630069</v>
      </c>
      <c r="S139" s="435" t="s">
        <v>400</v>
      </c>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v>20000000</v>
      </c>
      <c r="AP139" s="328">
        <v>0</v>
      </c>
      <c r="AQ139" s="328">
        <v>0</v>
      </c>
      <c r="AR139" s="328"/>
      <c r="AS139" s="328"/>
      <c r="AT139" s="328"/>
      <c r="AU139" s="328">
        <f t="shared" si="8"/>
        <v>20000000</v>
      </c>
      <c r="AV139" s="328">
        <f t="shared" si="9"/>
        <v>0</v>
      </c>
      <c r="AW139" s="328">
        <f t="shared" si="10"/>
        <v>0</v>
      </c>
      <c r="AX139" s="385" t="s">
        <v>389</v>
      </c>
      <c r="AY139" s="331"/>
      <c r="AZ139" s="331"/>
      <c r="BA139" s="331"/>
      <c r="BB139" s="331"/>
      <c r="BC139" s="331"/>
      <c r="BD139" s="331"/>
      <c r="BE139" s="331"/>
      <c r="BF139" s="331"/>
      <c r="BG139" s="331"/>
      <c r="BH139" s="331"/>
      <c r="BI139" s="331"/>
      <c r="BJ139" s="331"/>
      <c r="BK139" s="331"/>
      <c r="BL139" s="331"/>
      <c r="BM139" s="331"/>
      <c r="BN139" s="331"/>
      <c r="BO139" s="331"/>
      <c r="BP139" s="331"/>
      <c r="BQ139" s="331"/>
      <c r="BR139" s="331"/>
      <c r="BS139" s="331"/>
      <c r="BT139" s="331"/>
      <c r="BU139" s="331"/>
      <c r="BV139" s="331"/>
      <c r="BW139" s="331"/>
      <c r="BX139" s="331"/>
      <c r="BY139" s="331"/>
      <c r="BZ139" s="331"/>
      <c r="CA139" s="331"/>
      <c r="CB139" s="331"/>
      <c r="CC139" s="331"/>
      <c r="CD139" s="331"/>
      <c r="CE139" s="331"/>
      <c r="CF139" s="331"/>
      <c r="CG139" s="331"/>
      <c r="CH139" s="331"/>
      <c r="CI139" s="331"/>
      <c r="CJ139" s="331"/>
      <c r="CK139" s="331"/>
      <c r="CL139" s="331"/>
      <c r="CM139" s="331"/>
      <c r="CN139" s="331"/>
      <c r="CO139" s="331"/>
      <c r="CP139" s="331"/>
      <c r="CQ139" s="331"/>
      <c r="CR139" s="331"/>
      <c r="CS139" s="331"/>
      <c r="CT139" s="331"/>
      <c r="CU139" s="331"/>
      <c r="CV139" s="331"/>
      <c r="CW139" s="331"/>
      <c r="CX139" s="331"/>
      <c r="CY139" s="331"/>
      <c r="CZ139" s="331"/>
      <c r="DA139" s="331"/>
      <c r="DB139" s="331"/>
      <c r="DC139" s="331"/>
      <c r="DD139" s="331"/>
      <c r="DE139" s="331"/>
      <c r="DF139" s="331"/>
      <c r="DG139" s="331"/>
      <c r="DH139" s="331"/>
      <c r="DI139" s="331"/>
      <c r="DJ139" s="331"/>
      <c r="DK139" s="331"/>
      <c r="DL139" s="331"/>
      <c r="DM139" s="331"/>
      <c r="DN139" s="331"/>
      <c r="DO139" s="331"/>
      <c r="DP139" s="331"/>
      <c r="DQ139" s="331"/>
      <c r="DR139" s="331"/>
      <c r="DS139" s="331"/>
      <c r="DT139" s="331"/>
      <c r="DU139" s="331"/>
      <c r="DV139" s="331"/>
      <c r="DW139" s="331"/>
      <c r="DX139" s="331"/>
      <c r="DY139" s="331"/>
    </row>
    <row r="140" spans="1:129" s="332" customFormat="1" ht="63.75" x14ac:dyDescent="0.25">
      <c r="A140" s="259">
        <v>311</v>
      </c>
      <c r="B140" s="325" t="s">
        <v>381</v>
      </c>
      <c r="C140" s="306"/>
      <c r="D140" s="325"/>
      <c r="E140" s="306">
        <v>2</v>
      </c>
      <c r="F140" s="325" t="s">
        <v>159</v>
      </c>
      <c r="G140" s="259">
        <v>35</v>
      </c>
      <c r="H140" s="325" t="s">
        <v>383</v>
      </c>
      <c r="I140" s="259">
        <v>3502</v>
      </c>
      <c r="J140" s="325" t="s">
        <v>384</v>
      </c>
      <c r="K140" s="259">
        <v>3502095</v>
      </c>
      <c r="L140" s="325" t="s">
        <v>402</v>
      </c>
      <c r="M140" s="259">
        <v>350209500</v>
      </c>
      <c r="N140" s="333" t="s">
        <v>403</v>
      </c>
      <c r="O140" s="282" t="s">
        <v>67</v>
      </c>
      <c r="P140" s="272">
        <v>5</v>
      </c>
      <c r="Q140" s="227">
        <v>5</v>
      </c>
      <c r="R140" s="281">
        <v>2024003630069</v>
      </c>
      <c r="S140" s="435" t="s">
        <v>400</v>
      </c>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v>30000000</v>
      </c>
      <c r="AP140" s="328">
        <v>23653333</v>
      </c>
      <c r="AQ140" s="328">
        <v>10200000</v>
      </c>
      <c r="AR140" s="328"/>
      <c r="AS140" s="328"/>
      <c r="AT140" s="328"/>
      <c r="AU140" s="328">
        <f t="shared" si="8"/>
        <v>30000000</v>
      </c>
      <c r="AV140" s="328">
        <f t="shared" si="9"/>
        <v>23653333</v>
      </c>
      <c r="AW140" s="328">
        <f t="shared" si="10"/>
        <v>10200000</v>
      </c>
      <c r="AX140" s="385" t="s">
        <v>389</v>
      </c>
      <c r="AY140" s="331"/>
      <c r="AZ140" s="331"/>
      <c r="BA140" s="331"/>
      <c r="BB140" s="331"/>
      <c r="BC140" s="331"/>
      <c r="BD140" s="331"/>
      <c r="BE140" s="331"/>
      <c r="BF140" s="331"/>
      <c r="BG140" s="331"/>
      <c r="BH140" s="331"/>
      <c r="BI140" s="331"/>
      <c r="BJ140" s="331"/>
      <c r="BK140" s="331"/>
      <c r="BL140" s="331"/>
      <c r="BM140" s="331"/>
      <c r="BN140" s="331"/>
      <c r="BO140" s="331"/>
      <c r="BP140" s="331"/>
      <c r="BQ140" s="331"/>
      <c r="BR140" s="331"/>
      <c r="BS140" s="331"/>
      <c r="BT140" s="331"/>
      <c r="BU140" s="331"/>
      <c r="BV140" s="331"/>
      <c r="BW140" s="331"/>
      <c r="BX140" s="331"/>
      <c r="BY140" s="331"/>
      <c r="BZ140" s="331"/>
      <c r="CA140" s="331"/>
      <c r="CB140" s="331"/>
      <c r="CC140" s="331"/>
      <c r="CD140" s="331"/>
      <c r="CE140" s="331"/>
      <c r="CF140" s="331"/>
      <c r="CG140" s="331"/>
      <c r="CH140" s="331"/>
      <c r="CI140" s="331"/>
      <c r="CJ140" s="331"/>
      <c r="CK140" s="331"/>
      <c r="CL140" s="331"/>
      <c r="CM140" s="331"/>
      <c r="CN140" s="331"/>
      <c r="CO140" s="331"/>
      <c r="CP140" s="331"/>
      <c r="CQ140" s="331"/>
      <c r="CR140" s="331"/>
      <c r="CS140" s="331"/>
      <c r="CT140" s="331"/>
      <c r="CU140" s="331"/>
      <c r="CV140" s="331"/>
      <c r="CW140" s="331"/>
      <c r="CX140" s="331"/>
      <c r="CY140" s="331"/>
      <c r="CZ140" s="331"/>
      <c r="DA140" s="331"/>
      <c r="DB140" s="331"/>
      <c r="DC140" s="331"/>
      <c r="DD140" s="331"/>
      <c r="DE140" s="331"/>
      <c r="DF140" s="331"/>
      <c r="DG140" s="331"/>
      <c r="DH140" s="331"/>
      <c r="DI140" s="331"/>
      <c r="DJ140" s="331"/>
      <c r="DK140" s="331"/>
      <c r="DL140" s="331"/>
      <c r="DM140" s="331"/>
      <c r="DN140" s="331"/>
      <c r="DO140" s="331"/>
      <c r="DP140" s="331"/>
      <c r="DQ140" s="331"/>
      <c r="DR140" s="331"/>
      <c r="DS140" s="331"/>
      <c r="DT140" s="331"/>
      <c r="DU140" s="331"/>
      <c r="DV140" s="331"/>
      <c r="DW140" s="331"/>
      <c r="DX140" s="331"/>
      <c r="DY140" s="331"/>
    </row>
    <row r="141" spans="1:129" s="331" customFormat="1" ht="63.75" x14ac:dyDescent="0.25">
      <c r="A141" s="257">
        <v>311</v>
      </c>
      <c r="B141" s="376" t="s">
        <v>381</v>
      </c>
      <c r="C141" s="13">
        <v>2</v>
      </c>
      <c r="D141" s="376" t="s">
        <v>382</v>
      </c>
      <c r="E141" s="13">
        <v>3</v>
      </c>
      <c r="F141" s="376" t="s">
        <v>147</v>
      </c>
      <c r="G141" s="257">
        <v>35</v>
      </c>
      <c r="H141" s="376" t="s">
        <v>383</v>
      </c>
      <c r="I141" s="257">
        <v>3502</v>
      </c>
      <c r="J141" s="376" t="s">
        <v>384</v>
      </c>
      <c r="K141" s="282">
        <v>3502046</v>
      </c>
      <c r="L141" s="376" t="s">
        <v>404</v>
      </c>
      <c r="M141" s="257" t="s">
        <v>405</v>
      </c>
      <c r="N141" s="388" t="s">
        <v>406</v>
      </c>
      <c r="O141" s="439" t="s">
        <v>67</v>
      </c>
      <c r="P141" s="280">
        <v>1</v>
      </c>
      <c r="Q141" s="280">
        <v>1</v>
      </c>
      <c r="R141" s="380">
        <v>2020003630077</v>
      </c>
      <c r="S141" s="445" t="s">
        <v>407</v>
      </c>
      <c r="T141" s="381"/>
      <c r="U141" s="381"/>
      <c r="V141" s="381"/>
      <c r="W141" s="381"/>
      <c r="X141" s="381"/>
      <c r="Y141" s="381"/>
      <c r="Z141" s="381"/>
      <c r="AA141" s="381"/>
      <c r="AB141" s="381"/>
      <c r="AC141" s="381"/>
      <c r="AD141" s="381"/>
      <c r="AE141" s="381"/>
      <c r="AF141" s="381"/>
      <c r="AG141" s="381"/>
      <c r="AH141" s="381"/>
      <c r="AI141" s="381"/>
      <c r="AJ141" s="381"/>
      <c r="AK141" s="381"/>
      <c r="AL141" s="381">
        <f>3300000000- 2760000000</f>
        <v>540000000</v>
      </c>
      <c r="AM141" s="381">
        <v>540000000</v>
      </c>
      <c r="AN141" s="381">
        <v>540000000</v>
      </c>
      <c r="AO141" s="381">
        <f>1150987000+1500000000+63497927.57-1812534927.57</f>
        <v>901950000.00000024</v>
      </c>
      <c r="AP141" s="381">
        <v>901950000</v>
      </c>
      <c r="AQ141" s="381">
        <v>886712800</v>
      </c>
      <c r="AR141" s="381"/>
      <c r="AS141" s="381"/>
      <c r="AT141" s="381"/>
      <c r="AU141" s="381">
        <f t="shared" si="8"/>
        <v>1441950000.0000002</v>
      </c>
      <c r="AV141" s="381">
        <f t="shared" si="9"/>
        <v>1441950000</v>
      </c>
      <c r="AW141" s="381">
        <f t="shared" si="10"/>
        <v>1426712800</v>
      </c>
      <c r="AX141" s="392" t="s">
        <v>389</v>
      </c>
    </row>
    <row r="142" spans="1:129" s="332" customFormat="1" ht="63.75" x14ac:dyDescent="0.25">
      <c r="A142" s="259">
        <v>311</v>
      </c>
      <c r="B142" s="325" t="s">
        <v>381</v>
      </c>
      <c r="C142" s="306"/>
      <c r="D142" s="325"/>
      <c r="E142" s="306">
        <v>3</v>
      </c>
      <c r="F142" s="325" t="s">
        <v>147</v>
      </c>
      <c r="G142" s="259">
        <v>35</v>
      </c>
      <c r="H142" s="325" t="s">
        <v>383</v>
      </c>
      <c r="I142" s="259">
        <v>3502</v>
      </c>
      <c r="J142" s="325" t="s">
        <v>384</v>
      </c>
      <c r="K142" s="281">
        <v>3502046</v>
      </c>
      <c r="L142" s="325" t="s">
        <v>404</v>
      </c>
      <c r="M142" s="259">
        <v>350204600</v>
      </c>
      <c r="N142" s="333" t="s">
        <v>406</v>
      </c>
      <c r="O142" s="441" t="s">
        <v>26</v>
      </c>
      <c r="P142" s="272">
        <v>4</v>
      </c>
      <c r="Q142" s="272">
        <v>4</v>
      </c>
      <c r="R142" s="281">
        <v>2024003630061</v>
      </c>
      <c r="S142" s="435" t="s">
        <v>408</v>
      </c>
      <c r="T142" s="328"/>
      <c r="U142" s="328"/>
      <c r="V142" s="328"/>
      <c r="W142" s="328"/>
      <c r="X142" s="328"/>
      <c r="Y142" s="328"/>
      <c r="Z142" s="328"/>
      <c r="AA142" s="328"/>
      <c r="AB142" s="328"/>
      <c r="AC142" s="328"/>
      <c r="AD142" s="328"/>
      <c r="AE142" s="328"/>
      <c r="AF142" s="328"/>
      <c r="AG142" s="328"/>
      <c r="AH142" s="328"/>
      <c r="AI142" s="328"/>
      <c r="AJ142" s="328"/>
      <c r="AK142" s="328"/>
      <c r="AL142" s="328">
        <v>3355487218.4499998</v>
      </c>
      <c r="AM142" s="328">
        <f>3479020884-AM143</f>
        <v>3339311151</v>
      </c>
      <c r="AN142" s="328">
        <f>3374397551-AN143</f>
        <v>3317397551</v>
      </c>
      <c r="AO142" s="328">
        <f>1812534927.57+199803048.55</f>
        <v>2012337976.1199999</v>
      </c>
      <c r="AP142" s="328">
        <v>1791582179</v>
      </c>
      <c r="AQ142" s="328">
        <v>1738509047</v>
      </c>
      <c r="AR142" s="328"/>
      <c r="AS142" s="328"/>
      <c r="AT142" s="328"/>
      <c r="AU142" s="328">
        <f t="shared" si="8"/>
        <v>5367825194.5699997</v>
      </c>
      <c r="AV142" s="328">
        <f t="shared" si="9"/>
        <v>5130893330</v>
      </c>
      <c r="AW142" s="328">
        <f t="shared" si="10"/>
        <v>5055906598</v>
      </c>
      <c r="AX142" s="385" t="s">
        <v>389</v>
      </c>
      <c r="AY142" s="331"/>
      <c r="AZ142" s="331"/>
      <c r="BA142" s="331"/>
      <c r="BB142" s="331"/>
      <c r="BC142" s="331"/>
      <c r="BD142" s="331"/>
      <c r="BE142" s="331"/>
      <c r="BF142" s="331"/>
      <c r="BG142" s="331"/>
      <c r="BH142" s="331"/>
      <c r="BI142" s="331"/>
      <c r="BJ142" s="331"/>
      <c r="BK142" s="331"/>
      <c r="BL142" s="331"/>
      <c r="BM142" s="331"/>
      <c r="BN142" s="331"/>
      <c r="BO142" s="331"/>
      <c r="BP142" s="331"/>
      <c r="BQ142" s="331"/>
      <c r="BR142" s="331"/>
      <c r="BS142" s="331"/>
      <c r="BT142" s="331"/>
      <c r="BU142" s="331"/>
      <c r="BV142" s="331"/>
      <c r="BW142" s="331"/>
      <c r="BX142" s="331"/>
      <c r="BY142" s="331"/>
      <c r="BZ142" s="331"/>
      <c r="CA142" s="331"/>
      <c r="CB142" s="331"/>
      <c r="CC142" s="331"/>
      <c r="CD142" s="331"/>
      <c r="CE142" s="331"/>
      <c r="CF142" s="331"/>
      <c r="CG142" s="331"/>
      <c r="CH142" s="331"/>
      <c r="CI142" s="331"/>
      <c r="CJ142" s="331"/>
      <c r="CK142" s="331"/>
      <c r="CL142" s="331"/>
      <c r="CM142" s="331"/>
      <c r="CN142" s="331"/>
      <c r="CO142" s="331"/>
      <c r="CP142" s="331"/>
      <c r="CQ142" s="331"/>
      <c r="CR142" s="331"/>
      <c r="CS142" s="331"/>
      <c r="CT142" s="331"/>
      <c r="CU142" s="331"/>
      <c r="CV142" s="331"/>
      <c r="CW142" s="331"/>
      <c r="CX142" s="331"/>
      <c r="CY142" s="331"/>
      <c r="CZ142" s="331"/>
      <c r="DA142" s="331"/>
      <c r="DB142" s="331"/>
      <c r="DC142" s="331"/>
      <c r="DD142" s="331"/>
      <c r="DE142" s="331"/>
      <c r="DF142" s="331"/>
      <c r="DG142" s="331"/>
      <c r="DH142" s="331"/>
      <c r="DI142" s="331"/>
      <c r="DJ142" s="331"/>
      <c r="DK142" s="331"/>
      <c r="DL142" s="331"/>
      <c r="DM142" s="331"/>
      <c r="DN142" s="331"/>
      <c r="DO142" s="331"/>
      <c r="DP142" s="331"/>
      <c r="DQ142" s="331"/>
      <c r="DR142" s="331"/>
      <c r="DS142" s="331"/>
      <c r="DT142" s="331"/>
      <c r="DU142" s="331"/>
      <c r="DV142" s="331"/>
      <c r="DW142" s="331"/>
      <c r="DX142" s="331"/>
      <c r="DY142" s="331"/>
    </row>
    <row r="143" spans="1:129" s="332" customFormat="1" ht="63.75" x14ac:dyDescent="0.25">
      <c r="A143" s="259">
        <v>311</v>
      </c>
      <c r="B143" s="325" t="s">
        <v>381</v>
      </c>
      <c r="C143" s="306"/>
      <c r="D143" s="325"/>
      <c r="E143" s="306">
        <v>3</v>
      </c>
      <c r="F143" s="325" t="s">
        <v>147</v>
      </c>
      <c r="G143" s="259">
        <v>35</v>
      </c>
      <c r="H143" s="325" t="s">
        <v>383</v>
      </c>
      <c r="I143" s="259">
        <v>3502</v>
      </c>
      <c r="J143" s="325" t="s">
        <v>409</v>
      </c>
      <c r="K143" s="259">
        <v>3502046</v>
      </c>
      <c r="L143" s="325" t="s">
        <v>404</v>
      </c>
      <c r="M143" s="259">
        <v>350204602</v>
      </c>
      <c r="N143" s="333" t="s">
        <v>410</v>
      </c>
      <c r="O143" s="441" t="s">
        <v>26</v>
      </c>
      <c r="P143" s="272">
        <v>12</v>
      </c>
      <c r="Q143" s="272">
        <v>12</v>
      </c>
      <c r="R143" s="281">
        <v>2024003630061</v>
      </c>
      <c r="S143" s="435" t="s">
        <v>408</v>
      </c>
      <c r="T143" s="328"/>
      <c r="U143" s="328"/>
      <c r="V143" s="328"/>
      <c r="W143" s="328"/>
      <c r="X143" s="328"/>
      <c r="Y143" s="328"/>
      <c r="Z143" s="328"/>
      <c r="AA143" s="328"/>
      <c r="AB143" s="328"/>
      <c r="AC143" s="328"/>
      <c r="AD143" s="328"/>
      <c r="AE143" s="328"/>
      <c r="AF143" s="328"/>
      <c r="AG143" s="328"/>
      <c r="AH143" s="328"/>
      <c r="AI143" s="328"/>
      <c r="AJ143" s="328"/>
      <c r="AK143" s="328"/>
      <c r="AL143" s="328">
        <v>139709733</v>
      </c>
      <c r="AM143" s="328">
        <f>AL143</f>
        <v>139709733</v>
      </c>
      <c r="AN143" s="328">
        <v>57000000</v>
      </c>
      <c r="AO143" s="328"/>
      <c r="AP143" s="328"/>
      <c r="AQ143" s="328"/>
      <c r="AR143" s="328"/>
      <c r="AS143" s="328"/>
      <c r="AT143" s="328"/>
      <c r="AU143" s="328">
        <f t="shared" si="8"/>
        <v>139709733</v>
      </c>
      <c r="AV143" s="328">
        <f t="shared" si="9"/>
        <v>139709733</v>
      </c>
      <c r="AW143" s="328">
        <f t="shared" si="10"/>
        <v>57000000</v>
      </c>
      <c r="AX143" s="385" t="s">
        <v>389</v>
      </c>
      <c r="AY143" s="331"/>
      <c r="AZ143" s="331"/>
      <c r="BA143" s="331"/>
      <c r="BB143" s="331"/>
      <c r="BC143" s="331"/>
      <c r="BD143" s="331"/>
      <c r="BE143" s="331"/>
      <c r="BF143" s="331"/>
      <c r="BG143" s="331"/>
      <c r="BH143" s="331"/>
      <c r="BI143" s="331"/>
      <c r="BJ143" s="331"/>
      <c r="BK143" s="331"/>
      <c r="BL143" s="331"/>
      <c r="BM143" s="331"/>
      <c r="BN143" s="331"/>
      <c r="BO143" s="331"/>
      <c r="BP143" s="331"/>
      <c r="BQ143" s="331"/>
      <c r="BR143" s="331"/>
      <c r="BS143" s="331"/>
      <c r="BT143" s="331"/>
      <c r="BU143" s="331"/>
      <c r="BV143" s="331"/>
      <c r="BW143" s="331"/>
      <c r="BX143" s="331"/>
      <c r="BY143" s="331"/>
      <c r="BZ143" s="331"/>
      <c r="CA143" s="331"/>
      <c r="CB143" s="331"/>
      <c r="CC143" s="331"/>
      <c r="CD143" s="331"/>
      <c r="CE143" s="331"/>
      <c r="CF143" s="331"/>
      <c r="CG143" s="331"/>
      <c r="CH143" s="331"/>
      <c r="CI143" s="331"/>
      <c r="CJ143" s="331"/>
      <c r="CK143" s="331"/>
      <c r="CL143" s="331"/>
      <c r="CM143" s="331"/>
      <c r="CN143" s="331"/>
      <c r="CO143" s="331"/>
      <c r="CP143" s="331"/>
      <c r="CQ143" s="331"/>
      <c r="CR143" s="331"/>
      <c r="CS143" s="331"/>
      <c r="CT143" s="331"/>
      <c r="CU143" s="331"/>
      <c r="CV143" s="331"/>
      <c r="CW143" s="331"/>
      <c r="CX143" s="331"/>
      <c r="CY143" s="331"/>
      <c r="CZ143" s="331"/>
      <c r="DA143" s="331"/>
      <c r="DB143" s="331"/>
      <c r="DC143" s="331"/>
      <c r="DD143" s="331"/>
      <c r="DE143" s="331"/>
      <c r="DF143" s="331"/>
      <c r="DG143" s="331"/>
      <c r="DH143" s="331"/>
      <c r="DI143" s="331"/>
      <c r="DJ143" s="331"/>
      <c r="DK143" s="331"/>
      <c r="DL143" s="331"/>
      <c r="DM143" s="331"/>
      <c r="DN143" s="331"/>
      <c r="DO143" s="331"/>
      <c r="DP143" s="331"/>
      <c r="DQ143" s="331"/>
      <c r="DR143" s="331"/>
      <c r="DS143" s="331"/>
      <c r="DT143" s="331"/>
      <c r="DU143" s="331"/>
      <c r="DV143" s="331"/>
      <c r="DW143" s="331"/>
      <c r="DX143" s="331"/>
      <c r="DY143" s="331"/>
    </row>
    <row r="144" spans="1:129" s="459" customFormat="1" ht="63.75" x14ac:dyDescent="0.25">
      <c r="A144" s="292">
        <v>311</v>
      </c>
      <c r="B144" s="454" t="s">
        <v>381</v>
      </c>
      <c r="C144" s="344">
        <v>2</v>
      </c>
      <c r="D144" s="454" t="s">
        <v>382</v>
      </c>
      <c r="E144" s="344">
        <v>2</v>
      </c>
      <c r="F144" s="454" t="s">
        <v>159</v>
      </c>
      <c r="G144" s="292">
        <v>36</v>
      </c>
      <c r="H144" s="454" t="s">
        <v>411</v>
      </c>
      <c r="I144" s="292">
        <v>3602</v>
      </c>
      <c r="J144" s="454" t="s">
        <v>412</v>
      </c>
      <c r="K144" s="338">
        <v>3602018</v>
      </c>
      <c r="L144" s="454" t="s">
        <v>413</v>
      </c>
      <c r="M144" s="293" t="s">
        <v>414</v>
      </c>
      <c r="N144" s="453" t="s">
        <v>415</v>
      </c>
      <c r="O144" s="455" t="s">
        <v>67</v>
      </c>
      <c r="P144" s="299">
        <v>4</v>
      </c>
      <c r="Q144" s="299">
        <v>4</v>
      </c>
      <c r="R144" s="337">
        <v>2020003630078</v>
      </c>
      <c r="S144" s="456" t="s">
        <v>416</v>
      </c>
      <c r="T144" s="457"/>
      <c r="U144" s="457"/>
      <c r="V144" s="457"/>
      <c r="W144" s="457"/>
      <c r="X144" s="457"/>
      <c r="Y144" s="457"/>
      <c r="Z144" s="457"/>
      <c r="AA144" s="457"/>
      <c r="AB144" s="457"/>
      <c r="AC144" s="457"/>
      <c r="AD144" s="457"/>
      <c r="AE144" s="457"/>
      <c r="AF144" s="457"/>
      <c r="AG144" s="457"/>
      <c r="AH144" s="457"/>
      <c r="AI144" s="457"/>
      <c r="AJ144" s="457"/>
      <c r="AK144" s="457"/>
      <c r="AL144" s="457">
        <f>310000000+500000000-795449576</f>
        <v>14550424</v>
      </c>
      <c r="AM144" s="457">
        <v>14550424</v>
      </c>
      <c r="AN144" s="457">
        <v>14550424</v>
      </c>
      <c r="AO144" s="457"/>
      <c r="AP144" s="457"/>
      <c r="AQ144" s="457"/>
      <c r="AR144" s="457"/>
      <c r="AS144" s="457"/>
      <c r="AT144" s="457"/>
      <c r="AU144" s="457">
        <f t="shared" si="8"/>
        <v>14550424</v>
      </c>
      <c r="AV144" s="457">
        <f t="shared" si="9"/>
        <v>14550424</v>
      </c>
      <c r="AW144" s="457">
        <f t="shared" si="10"/>
        <v>14550424</v>
      </c>
      <c r="AX144" s="458" t="s">
        <v>389</v>
      </c>
    </row>
    <row r="145" spans="1:129" s="459" customFormat="1" ht="63.75" x14ac:dyDescent="0.25">
      <c r="A145" s="292">
        <v>311</v>
      </c>
      <c r="B145" s="454" t="s">
        <v>381</v>
      </c>
      <c r="C145" s="344">
        <v>2</v>
      </c>
      <c r="D145" s="454" t="s">
        <v>382</v>
      </c>
      <c r="E145" s="344">
        <v>2</v>
      </c>
      <c r="F145" s="454" t="s">
        <v>159</v>
      </c>
      <c r="G145" s="292">
        <v>36</v>
      </c>
      <c r="H145" s="454" t="s">
        <v>411</v>
      </c>
      <c r="I145" s="292">
        <v>3602</v>
      </c>
      <c r="J145" s="454" t="s">
        <v>412</v>
      </c>
      <c r="K145" s="292">
        <v>3602032</v>
      </c>
      <c r="L145" s="454" t="s">
        <v>417</v>
      </c>
      <c r="M145" s="293" t="s">
        <v>418</v>
      </c>
      <c r="N145" s="453" t="s">
        <v>419</v>
      </c>
      <c r="O145" s="455" t="s">
        <v>26</v>
      </c>
      <c r="P145" s="299">
        <v>14</v>
      </c>
      <c r="Q145" s="299">
        <v>14</v>
      </c>
      <c r="R145" s="337">
        <v>2020003630078</v>
      </c>
      <c r="S145" s="456" t="s">
        <v>416</v>
      </c>
      <c r="T145" s="457"/>
      <c r="U145" s="457"/>
      <c r="V145" s="457"/>
      <c r="W145" s="457"/>
      <c r="X145" s="457"/>
      <c r="Y145" s="457"/>
      <c r="Z145" s="457"/>
      <c r="AA145" s="457"/>
      <c r="AB145" s="457"/>
      <c r="AC145" s="457"/>
      <c r="AD145" s="457"/>
      <c r="AE145" s="457"/>
      <c r="AF145" s="457"/>
      <c r="AG145" s="457"/>
      <c r="AH145" s="457"/>
      <c r="AI145" s="457"/>
      <c r="AJ145" s="457"/>
      <c r="AK145" s="457"/>
      <c r="AL145" s="457">
        <f>70000000-1650000</f>
        <v>68350000</v>
      </c>
      <c r="AM145" s="457">
        <v>68350000</v>
      </c>
      <c r="AN145" s="457">
        <v>68350000</v>
      </c>
      <c r="AO145" s="457"/>
      <c r="AP145" s="457"/>
      <c r="AQ145" s="457"/>
      <c r="AR145" s="457"/>
      <c r="AS145" s="457"/>
      <c r="AT145" s="457"/>
      <c r="AU145" s="457">
        <f t="shared" si="8"/>
        <v>68350000</v>
      </c>
      <c r="AV145" s="457">
        <f t="shared" si="9"/>
        <v>68350000</v>
      </c>
      <c r="AW145" s="457">
        <f t="shared" si="10"/>
        <v>68350000</v>
      </c>
      <c r="AX145" s="458" t="s">
        <v>389</v>
      </c>
    </row>
    <row r="146" spans="1:129" s="332" customFormat="1" ht="63.75" x14ac:dyDescent="0.25">
      <c r="A146" s="259">
        <v>311</v>
      </c>
      <c r="B146" s="325" t="s">
        <v>381</v>
      </c>
      <c r="C146" s="306"/>
      <c r="D146" s="325"/>
      <c r="E146" s="306">
        <v>2</v>
      </c>
      <c r="F146" s="325" t="s">
        <v>159</v>
      </c>
      <c r="G146" s="259">
        <v>36</v>
      </c>
      <c r="H146" s="325" t="s">
        <v>411</v>
      </c>
      <c r="I146" s="259">
        <v>3602</v>
      </c>
      <c r="J146" s="325" t="s">
        <v>412</v>
      </c>
      <c r="K146" s="282">
        <v>3602018</v>
      </c>
      <c r="L146" s="325" t="s">
        <v>413</v>
      </c>
      <c r="M146" s="264">
        <v>360201800</v>
      </c>
      <c r="N146" s="333" t="s">
        <v>415</v>
      </c>
      <c r="O146" s="282" t="s">
        <v>67</v>
      </c>
      <c r="P146" s="272">
        <v>10</v>
      </c>
      <c r="Q146" s="272">
        <v>0</v>
      </c>
      <c r="R146" s="281">
        <v>2024003630058</v>
      </c>
      <c r="S146" s="460" t="s">
        <v>420</v>
      </c>
      <c r="T146" s="328"/>
      <c r="U146" s="328"/>
      <c r="V146" s="328"/>
      <c r="W146" s="328"/>
      <c r="X146" s="328"/>
      <c r="Y146" s="328"/>
      <c r="Z146" s="328"/>
      <c r="AA146" s="328"/>
      <c r="AB146" s="328"/>
      <c r="AC146" s="328"/>
      <c r="AD146" s="328"/>
      <c r="AE146" s="328"/>
      <c r="AF146" s="328"/>
      <c r="AG146" s="328"/>
      <c r="AH146" s="328"/>
      <c r="AI146" s="328"/>
      <c r="AJ146" s="328"/>
      <c r="AK146" s="328"/>
      <c r="AL146" s="328">
        <v>265449576</v>
      </c>
      <c r="AM146" s="328">
        <v>0</v>
      </c>
      <c r="AN146" s="328">
        <v>0</v>
      </c>
      <c r="AO146" s="328"/>
      <c r="AP146" s="328"/>
      <c r="AQ146" s="328"/>
      <c r="AR146" s="328"/>
      <c r="AS146" s="328"/>
      <c r="AT146" s="328"/>
      <c r="AU146" s="328">
        <f t="shared" si="8"/>
        <v>265449576</v>
      </c>
      <c r="AV146" s="328">
        <f t="shared" si="9"/>
        <v>0</v>
      </c>
      <c r="AW146" s="328">
        <f t="shared" si="10"/>
        <v>0</v>
      </c>
      <c r="AX146" s="385" t="s">
        <v>389</v>
      </c>
      <c r="AY146" s="331"/>
      <c r="AZ146" s="331"/>
      <c r="BA146" s="331"/>
      <c r="BB146" s="331"/>
      <c r="BC146" s="331"/>
      <c r="BD146" s="331"/>
      <c r="BE146" s="331"/>
      <c r="BF146" s="331"/>
      <c r="BG146" s="331"/>
      <c r="BH146" s="331"/>
      <c r="BI146" s="331"/>
      <c r="BJ146" s="331"/>
      <c r="BK146" s="331"/>
      <c r="BL146" s="331"/>
      <c r="BM146" s="331"/>
      <c r="BN146" s="331"/>
      <c r="BO146" s="331"/>
      <c r="BP146" s="331"/>
      <c r="BQ146" s="331"/>
      <c r="BR146" s="331"/>
      <c r="BS146" s="331"/>
      <c r="BT146" s="331"/>
      <c r="BU146" s="331"/>
      <c r="BV146" s="331"/>
      <c r="BW146" s="331"/>
      <c r="BX146" s="331"/>
      <c r="BY146" s="331"/>
      <c r="BZ146" s="331"/>
      <c r="CA146" s="331"/>
      <c r="CB146" s="331"/>
      <c r="CC146" s="331"/>
      <c r="CD146" s="331"/>
      <c r="CE146" s="331"/>
      <c r="CF146" s="331"/>
      <c r="CG146" s="331"/>
      <c r="CH146" s="331"/>
      <c r="CI146" s="331"/>
      <c r="CJ146" s="331"/>
      <c r="CK146" s="331"/>
      <c r="CL146" s="331"/>
      <c r="CM146" s="331"/>
      <c r="CN146" s="331"/>
      <c r="CO146" s="331"/>
      <c r="CP146" s="331"/>
      <c r="CQ146" s="331"/>
      <c r="CR146" s="331"/>
      <c r="CS146" s="331"/>
      <c r="CT146" s="331"/>
      <c r="CU146" s="331"/>
      <c r="CV146" s="331"/>
      <c r="CW146" s="331"/>
      <c r="CX146" s="331"/>
      <c r="CY146" s="331"/>
      <c r="CZ146" s="331"/>
      <c r="DA146" s="331"/>
      <c r="DB146" s="331"/>
      <c r="DC146" s="331"/>
      <c r="DD146" s="331"/>
      <c r="DE146" s="331"/>
      <c r="DF146" s="331"/>
      <c r="DG146" s="331"/>
      <c r="DH146" s="331"/>
      <c r="DI146" s="331"/>
      <c r="DJ146" s="331"/>
      <c r="DK146" s="331"/>
      <c r="DL146" s="331"/>
      <c r="DM146" s="331"/>
      <c r="DN146" s="331"/>
      <c r="DO146" s="331"/>
      <c r="DP146" s="331"/>
      <c r="DQ146" s="331"/>
      <c r="DR146" s="331"/>
      <c r="DS146" s="331"/>
      <c r="DT146" s="331"/>
      <c r="DU146" s="331"/>
      <c r="DV146" s="331"/>
      <c r="DW146" s="331"/>
      <c r="DX146" s="331"/>
      <c r="DY146" s="331"/>
    </row>
    <row r="147" spans="1:129" s="332" customFormat="1" ht="63.75" x14ac:dyDescent="0.25">
      <c r="A147" s="259">
        <v>311</v>
      </c>
      <c r="B147" s="325" t="s">
        <v>381</v>
      </c>
      <c r="C147" s="306"/>
      <c r="D147" s="325"/>
      <c r="E147" s="306">
        <v>2</v>
      </c>
      <c r="F147" s="325" t="s">
        <v>159</v>
      </c>
      <c r="G147" s="259">
        <v>36</v>
      </c>
      <c r="H147" s="325" t="s">
        <v>411</v>
      </c>
      <c r="I147" s="259">
        <v>3602</v>
      </c>
      <c r="J147" s="325" t="s">
        <v>412</v>
      </c>
      <c r="K147" s="281">
        <v>3602032</v>
      </c>
      <c r="L147" s="325" t="s">
        <v>421</v>
      </c>
      <c r="M147" s="264">
        <v>360203200</v>
      </c>
      <c r="N147" s="333" t="s">
        <v>422</v>
      </c>
      <c r="O147" s="282" t="s">
        <v>67</v>
      </c>
      <c r="P147" s="272">
        <v>150</v>
      </c>
      <c r="Q147" s="272">
        <v>150</v>
      </c>
      <c r="R147" s="281">
        <v>2024003630058</v>
      </c>
      <c r="S147" s="460" t="s">
        <v>420</v>
      </c>
      <c r="T147" s="328"/>
      <c r="U147" s="328"/>
      <c r="V147" s="328"/>
      <c r="W147" s="328"/>
      <c r="X147" s="328"/>
      <c r="Y147" s="328"/>
      <c r="Z147" s="328"/>
      <c r="AA147" s="328"/>
      <c r="AB147" s="328"/>
      <c r="AC147" s="328"/>
      <c r="AD147" s="328"/>
      <c r="AE147" s="328"/>
      <c r="AF147" s="328"/>
      <c r="AG147" s="328"/>
      <c r="AH147" s="328"/>
      <c r="AI147" s="328"/>
      <c r="AJ147" s="328"/>
      <c r="AK147" s="328"/>
      <c r="AL147" s="328">
        <v>364000000</v>
      </c>
      <c r="AM147" s="328">
        <v>296036665</v>
      </c>
      <c r="AN147" s="328">
        <v>224800000</v>
      </c>
      <c r="AO147" s="328"/>
      <c r="AP147" s="328"/>
      <c r="AQ147" s="328"/>
      <c r="AR147" s="328"/>
      <c r="AS147" s="328"/>
      <c r="AT147" s="328"/>
      <c r="AU147" s="328">
        <f t="shared" si="8"/>
        <v>364000000</v>
      </c>
      <c r="AV147" s="328">
        <f t="shared" si="9"/>
        <v>296036665</v>
      </c>
      <c r="AW147" s="328">
        <f t="shared" si="10"/>
        <v>224800000</v>
      </c>
      <c r="AX147" s="385" t="s">
        <v>389</v>
      </c>
      <c r="AY147" s="331"/>
      <c r="AZ147" s="331"/>
      <c r="BA147" s="331"/>
      <c r="BB147" s="331"/>
      <c r="BC147" s="331"/>
      <c r="BD147" s="331"/>
      <c r="BE147" s="331"/>
      <c r="BF147" s="331"/>
      <c r="BG147" s="331"/>
      <c r="BH147" s="331"/>
      <c r="BI147" s="331"/>
      <c r="BJ147" s="331"/>
      <c r="BK147" s="331"/>
      <c r="BL147" s="331"/>
      <c r="BM147" s="331"/>
      <c r="BN147" s="331"/>
      <c r="BO147" s="331"/>
      <c r="BP147" s="331"/>
      <c r="BQ147" s="331"/>
      <c r="BR147" s="331"/>
      <c r="BS147" s="331"/>
      <c r="BT147" s="331"/>
      <c r="BU147" s="331"/>
      <c r="BV147" s="331"/>
      <c r="BW147" s="331"/>
      <c r="BX147" s="331"/>
      <c r="BY147" s="331"/>
      <c r="BZ147" s="331"/>
      <c r="CA147" s="331"/>
      <c r="CB147" s="331"/>
      <c r="CC147" s="331"/>
      <c r="CD147" s="331"/>
      <c r="CE147" s="331"/>
      <c r="CF147" s="331"/>
      <c r="CG147" s="331"/>
      <c r="CH147" s="331"/>
      <c r="CI147" s="331"/>
      <c r="CJ147" s="331"/>
      <c r="CK147" s="331"/>
      <c r="CL147" s="331"/>
      <c r="CM147" s="331"/>
      <c r="CN147" s="331"/>
      <c r="CO147" s="331"/>
      <c r="CP147" s="331"/>
      <c r="CQ147" s="331"/>
      <c r="CR147" s="331"/>
      <c r="CS147" s="331"/>
      <c r="CT147" s="331"/>
      <c r="CU147" s="331"/>
      <c r="CV147" s="331"/>
      <c r="CW147" s="331"/>
      <c r="CX147" s="331"/>
      <c r="CY147" s="331"/>
      <c r="CZ147" s="331"/>
      <c r="DA147" s="331"/>
      <c r="DB147" s="331"/>
      <c r="DC147" s="331"/>
      <c r="DD147" s="331"/>
      <c r="DE147" s="331"/>
      <c r="DF147" s="331"/>
      <c r="DG147" s="331"/>
      <c r="DH147" s="331"/>
      <c r="DI147" s="331"/>
      <c r="DJ147" s="331"/>
      <c r="DK147" s="331"/>
      <c r="DL147" s="331"/>
      <c r="DM147" s="331"/>
      <c r="DN147" s="331"/>
      <c r="DO147" s="331"/>
      <c r="DP147" s="331"/>
      <c r="DQ147" s="331"/>
      <c r="DR147" s="331"/>
      <c r="DS147" s="331"/>
      <c r="DT147" s="331"/>
      <c r="DU147" s="331"/>
      <c r="DV147" s="331"/>
      <c r="DW147" s="331"/>
      <c r="DX147" s="331"/>
      <c r="DY147" s="331"/>
    </row>
    <row r="148" spans="1:129" s="332" customFormat="1" ht="63.75" x14ac:dyDescent="0.25">
      <c r="A148" s="259">
        <v>311</v>
      </c>
      <c r="B148" s="325" t="s">
        <v>381</v>
      </c>
      <c r="C148" s="306"/>
      <c r="D148" s="325"/>
      <c r="E148" s="306">
        <v>2</v>
      </c>
      <c r="F148" s="325" t="s">
        <v>159</v>
      </c>
      <c r="G148" s="259">
        <v>36</v>
      </c>
      <c r="H148" s="325" t="s">
        <v>411</v>
      </c>
      <c r="I148" s="259">
        <v>3602</v>
      </c>
      <c r="J148" s="325" t="s">
        <v>412</v>
      </c>
      <c r="K148" s="281">
        <v>3602005</v>
      </c>
      <c r="L148" s="325" t="s">
        <v>423</v>
      </c>
      <c r="M148" s="264">
        <v>360200500</v>
      </c>
      <c r="N148" s="333" t="s">
        <v>424</v>
      </c>
      <c r="O148" s="282" t="s">
        <v>67</v>
      </c>
      <c r="P148" s="272">
        <v>375</v>
      </c>
      <c r="Q148" s="272">
        <v>252</v>
      </c>
      <c r="R148" s="281">
        <v>2024003630058</v>
      </c>
      <c r="S148" s="460" t="s">
        <v>420</v>
      </c>
      <c r="T148" s="328"/>
      <c r="U148" s="328"/>
      <c r="V148" s="328"/>
      <c r="W148" s="328"/>
      <c r="X148" s="328"/>
      <c r="Y148" s="328"/>
      <c r="Z148" s="328"/>
      <c r="AA148" s="328"/>
      <c r="AB148" s="328"/>
      <c r="AC148" s="328"/>
      <c r="AD148" s="328"/>
      <c r="AE148" s="328"/>
      <c r="AF148" s="328"/>
      <c r="AG148" s="328"/>
      <c r="AH148" s="328"/>
      <c r="AI148" s="328"/>
      <c r="AJ148" s="328"/>
      <c r="AK148" s="328"/>
      <c r="AL148" s="328">
        <v>20000000</v>
      </c>
      <c r="AM148" s="328">
        <v>14430000</v>
      </c>
      <c r="AN148" s="328">
        <v>0</v>
      </c>
      <c r="AO148" s="328"/>
      <c r="AP148" s="328"/>
      <c r="AQ148" s="328"/>
      <c r="AR148" s="328"/>
      <c r="AS148" s="328"/>
      <c r="AT148" s="328"/>
      <c r="AU148" s="328">
        <f t="shared" si="8"/>
        <v>20000000</v>
      </c>
      <c r="AV148" s="328">
        <f t="shared" si="9"/>
        <v>14430000</v>
      </c>
      <c r="AW148" s="328">
        <f t="shared" si="10"/>
        <v>0</v>
      </c>
      <c r="AX148" s="385" t="s">
        <v>389</v>
      </c>
      <c r="AY148" s="331"/>
      <c r="AZ148" s="331"/>
      <c r="BA148" s="331"/>
      <c r="BB148" s="331"/>
      <c r="BC148" s="331"/>
      <c r="BD148" s="331"/>
      <c r="BE148" s="331"/>
      <c r="BF148" s="331"/>
      <c r="BG148" s="331"/>
      <c r="BH148" s="331"/>
      <c r="BI148" s="331"/>
      <c r="BJ148" s="331"/>
      <c r="BK148" s="331"/>
      <c r="BL148" s="331"/>
      <c r="BM148" s="331"/>
      <c r="BN148" s="331"/>
      <c r="BO148" s="331"/>
      <c r="BP148" s="331"/>
      <c r="BQ148" s="331"/>
      <c r="BR148" s="331"/>
      <c r="BS148" s="331"/>
      <c r="BT148" s="331"/>
      <c r="BU148" s="331"/>
      <c r="BV148" s="331"/>
      <c r="BW148" s="331"/>
      <c r="BX148" s="331"/>
      <c r="BY148" s="331"/>
      <c r="BZ148" s="331"/>
      <c r="CA148" s="331"/>
      <c r="CB148" s="331"/>
      <c r="CC148" s="331"/>
      <c r="CD148" s="331"/>
      <c r="CE148" s="331"/>
      <c r="CF148" s="331"/>
      <c r="CG148" s="331"/>
      <c r="CH148" s="331"/>
      <c r="CI148" s="331"/>
      <c r="CJ148" s="331"/>
      <c r="CK148" s="331"/>
      <c r="CL148" s="331"/>
      <c r="CM148" s="331"/>
      <c r="CN148" s="331"/>
      <c r="CO148" s="331"/>
      <c r="CP148" s="331"/>
      <c r="CQ148" s="331"/>
      <c r="CR148" s="331"/>
      <c r="CS148" s="331"/>
      <c r="CT148" s="331"/>
      <c r="CU148" s="331"/>
      <c r="CV148" s="331"/>
      <c r="CW148" s="331"/>
      <c r="CX148" s="331"/>
      <c r="CY148" s="331"/>
      <c r="CZ148" s="331"/>
      <c r="DA148" s="331"/>
      <c r="DB148" s="331"/>
      <c r="DC148" s="331"/>
      <c r="DD148" s="331"/>
      <c r="DE148" s="331"/>
      <c r="DF148" s="331"/>
      <c r="DG148" s="331"/>
      <c r="DH148" s="331"/>
      <c r="DI148" s="331"/>
      <c r="DJ148" s="331"/>
      <c r="DK148" s="331"/>
      <c r="DL148" s="331"/>
      <c r="DM148" s="331"/>
      <c r="DN148" s="331"/>
      <c r="DO148" s="331"/>
      <c r="DP148" s="331"/>
      <c r="DQ148" s="331"/>
      <c r="DR148" s="331"/>
      <c r="DS148" s="331"/>
      <c r="DT148" s="331"/>
      <c r="DU148" s="331"/>
      <c r="DV148" s="331"/>
      <c r="DW148" s="331"/>
      <c r="DX148" s="331"/>
      <c r="DY148" s="331"/>
    </row>
    <row r="149" spans="1:129" s="332" customFormat="1" ht="63.75" x14ac:dyDescent="0.25">
      <c r="A149" s="259">
        <v>311</v>
      </c>
      <c r="B149" s="325" t="s">
        <v>381</v>
      </c>
      <c r="C149" s="306"/>
      <c r="D149" s="325"/>
      <c r="E149" s="306">
        <v>2</v>
      </c>
      <c r="F149" s="325" t="s">
        <v>159</v>
      </c>
      <c r="G149" s="259">
        <v>39</v>
      </c>
      <c r="H149" s="325" t="s">
        <v>425</v>
      </c>
      <c r="I149" s="259">
        <v>3906</v>
      </c>
      <c r="J149" s="325" t="s">
        <v>426</v>
      </c>
      <c r="K149" s="313">
        <v>3906014</v>
      </c>
      <c r="L149" s="325" t="s">
        <v>427</v>
      </c>
      <c r="M149" s="264">
        <v>390601400</v>
      </c>
      <c r="N149" s="333" t="s">
        <v>428</v>
      </c>
      <c r="O149" s="282" t="s">
        <v>67</v>
      </c>
      <c r="P149" s="272">
        <v>2</v>
      </c>
      <c r="Q149" s="272">
        <v>2</v>
      </c>
      <c r="R149" s="281">
        <v>2024003630054</v>
      </c>
      <c r="S149" s="333" t="s">
        <v>429</v>
      </c>
      <c r="T149" s="328"/>
      <c r="U149" s="328"/>
      <c r="V149" s="328"/>
      <c r="W149" s="328"/>
      <c r="X149" s="328"/>
      <c r="Y149" s="328"/>
      <c r="Z149" s="328"/>
      <c r="AA149" s="328"/>
      <c r="AB149" s="328"/>
      <c r="AC149" s="328"/>
      <c r="AD149" s="328"/>
      <c r="AE149" s="328"/>
      <c r="AF149" s="328"/>
      <c r="AG149" s="328"/>
      <c r="AH149" s="328"/>
      <c r="AI149" s="328"/>
      <c r="AJ149" s="328"/>
      <c r="AK149" s="328"/>
      <c r="AL149" s="328">
        <v>30000000</v>
      </c>
      <c r="AM149" s="328">
        <v>6800000</v>
      </c>
      <c r="AN149" s="328">
        <v>3400000</v>
      </c>
      <c r="AO149" s="328"/>
      <c r="AP149" s="328"/>
      <c r="AQ149" s="328"/>
      <c r="AR149" s="328"/>
      <c r="AS149" s="328"/>
      <c r="AT149" s="328"/>
      <c r="AU149" s="328">
        <f t="shared" si="8"/>
        <v>30000000</v>
      </c>
      <c r="AV149" s="328">
        <f t="shared" si="9"/>
        <v>6800000</v>
      </c>
      <c r="AW149" s="328">
        <f t="shared" si="10"/>
        <v>3400000</v>
      </c>
      <c r="AX149" s="385" t="s">
        <v>389</v>
      </c>
      <c r="AY149" s="331"/>
      <c r="AZ149" s="331"/>
      <c r="BA149" s="331"/>
      <c r="BB149" s="331"/>
      <c r="BC149" s="331"/>
      <c r="BD149" s="331"/>
      <c r="BE149" s="331"/>
      <c r="BF149" s="331"/>
      <c r="BG149" s="331"/>
      <c r="BH149" s="331"/>
      <c r="BI149" s="331"/>
      <c r="BJ149" s="331"/>
      <c r="BK149" s="331"/>
      <c r="BL149" s="331"/>
      <c r="BM149" s="331"/>
      <c r="BN149" s="331"/>
      <c r="BO149" s="331"/>
      <c r="BP149" s="331"/>
      <c r="BQ149" s="331"/>
      <c r="BR149" s="331"/>
      <c r="BS149" s="331"/>
      <c r="BT149" s="331"/>
      <c r="BU149" s="331"/>
      <c r="BV149" s="331"/>
      <c r="BW149" s="331"/>
      <c r="BX149" s="331"/>
      <c r="BY149" s="331"/>
      <c r="BZ149" s="331"/>
      <c r="CA149" s="331"/>
      <c r="CB149" s="331"/>
      <c r="CC149" s="331"/>
      <c r="CD149" s="331"/>
      <c r="CE149" s="331"/>
      <c r="CF149" s="331"/>
      <c r="CG149" s="331"/>
      <c r="CH149" s="331"/>
      <c r="CI149" s="331"/>
      <c r="CJ149" s="331"/>
      <c r="CK149" s="331"/>
      <c r="CL149" s="331"/>
      <c r="CM149" s="331"/>
      <c r="CN149" s="331"/>
      <c r="CO149" s="331"/>
      <c r="CP149" s="331"/>
      <c r="CQ149" s="331"/>
      <c r="CR149" s="331"/>
      <c r="CS149" s="331"/>
      <c r="CT149" s="331"/>
      <c r="CU149" s="331"/>
      <c r="CV149" s="331"/>
      <c r="CW149" s="331"/>
      <c r="CX149" s="331"/>
      <c r="CY149" s="331"/>
      <c r="CZ149" s="331"/>
      <c r="DA149" s="331"/>
      <c r="DB149" s="331"/>
      <c r="DC149" s="331"/>
      <c r="DD149" s="331"/>
      <c r="DE149" s="331"/>
      <c r="DF149" s="331"/>
      <c r="DG149" s="331"/>
      <c r="DH149" s="331"/>
      <c r="DI149" s="331"/>
      <c r="DJ149" s="331"/>
      <c r="DK149" s="331"/>
      <c r="DL149" s="331"/>
      <c r="DM149" s="331"/>
      <c r="DN149" s="331"/>
      <c r="DO149" s="331"/>
      <c r="DP149" s="331"/>
      <c r="DQ149" s="331"/>
      <c r="DR149" s="331"/>
      <c r="DS149" s="331"/>
      <c r="DT149" s="331"/>
      <c r="DU149" s="331"/>
      <c r="DV149" s="331"/>
      <c r="DW149" s="331"/>
      <c r="DX149" s="331"/>
      <c r="DY149" s="331"/>
    </row>
    <row r="150" spans="1:129" s="332" customFormat="1" ht="51" x14ac:dyDescent="0.25">
      <c r="A150" s="259">
        <v>311</v>
      </c>
      <c r="B150" s="325" t="s">
        <v>381</v>
      </c>
      <c r="C150" s="306"/>
      <c r="D150" s="386"/>
      <c r="E150" s="306">
        <v>4</v>
      </c>
      <c r="F150" s="386" t="s">
        <v>102</v>
      </c>
      <c r="G150" s="343" t="s">
        <v>29</v>
      </c>
      <c r="H150" s="386" t="s">
        <v>22</v>
      </c>
      <c r="I150" s="259">
        <v>4599</v>
      </c>
      <c r="J150" s="325" t="s">
        <v>32</v>
      </c>
      <c r="K150" s="259">
        <v>4599001</v>
      </c>
      <c r="L150" s="325" t="s">
        <v>89</v>
      </c>
      <c r="M150" s="264">
        <v>459900100</v>
      </c>
      <c r="N150" s="333" t="s">
        <v>91</v>
      </c>
      <c r="O150" s="441" t="s">
        <v>26</v>
      </c>
      <c r="P150" s="272">
        <v>1</v>
      </c>
      <c r="Q150" s="272">
        <v>0.75</v>
      </c>
      <c r="R150" s="281">
        <v>2024003630065</v>
      </c>
      <c r="S150" s="333" t="s">
        <v>430</v>
      </c>
      <c r="T150" s="328"/>
      <c r="U150" s="328"/>
      <c r="V150" s="328"/>
      <c r="W150" s="328"/>
      <c r="X150" s="328"/>
      <c r="Y150" s="328"/>
      <c r="Z150" s="328"/>
      <c r="AA150" s="328"/>
      <c r="AB150" s="328"/>
      <c r="AC150" s="328"/>
      <c r="AD150" s="328"/>
      <c r="AE150" s="328"/>
      <c r="AF150" s="328"/>
      <c r="AG150" s="328"/>
      <c r="AH150" s="328"/>
      <c r="AI150" s="328"/>
      <c r="AJ150" s="328"/>
      <c r="AK150" s="328"/>
      <c r="AL150" s="328">
        <v>20000000</v>
      </c>
      <c r="AM150" s="328">
        <v>15580000</v>
      </c>
      <c r="AN150" s="328">
        <v>11100000</v>
      </c>
      <c r="AO150" s="328"/>
      <c r="AP150" s="328"/>
      <c r="AQ150" s="328"/>
      <c r="AR150" s="328"/>
      <c r="AS150" s="328"/>
      <c r="AT150" s="328"/>
      <c r="AU150" s="328">
        <f t="shared" si="8"/>
        <v>20000000</v>
      </c>
      <c r="AV150" s="328">
        <f t="shared" si="9"/>
        <v>15580000</v>
      </c>
      <c r="AW150" s="328">
        <f t="shared" si="10"/>
        <v>11100000</v>
      </c>
      <c r="AX150" s="385" t="s">
        <v>389</v>
      </c>
      <c r="AY150" s="331"/>
      <c r="AZ150" s="331"/>
      <c r="BA150" s="331"/>
      <c r="BB150" s="331"/>
      <c r="BC150" s="331"/>
      <c r="BD150" s="331"/>
      <c r="BE150" s="331"/>
      <c r="BF150" s="331"/>
      <c r="BG150" s="331"/>
      <c r="BH150" s="331"/>
      <c r="BI150" s="331"/>
      <c r="BJ150" s="331"/>
      <c r="BK150" s="331"/>
      <c r="BL150" s="331"/>
      <c r="BM150" s="331"/>
      <c r="BN150" s="331"/>
      <c r="BO150" s="331"/>
      <c r="BP150" s="331"/>
      <c r="BQ150" s="331"/>
      <c r="BR150" s="331"/>
      <c r="BS150" s="331"/>
      <c r="BT150" s="331"/>
      <c r="BU150" s="331"/>
      <c r="BV150" s="331"/>
      <c r="BW150" s="331"/>
      <c r="BX150" s="331"/>
      <c r="BY150" s="331"/>
      <c r="BZ150" s="331"/>
      <c r="CA150" s="331"/>
      <c r="CB150" s="331"/>
      <c r="CC150" s="331"/>
      <c r="CD150" s="331"/>
      <c r="CE150" s="331"/>
      <c r="CF150" s="331"/>
      <c r="CG150" s="331"/>
      <c r="CH150" s="331"/>
      <c r="CI150" s="331"/>
      <c r="CJ150" s="331"/>
      <c r="CK150" s="331"/>
      <c r="CL150" s="331"/>
      <c r="CM150" s="331"/>
      <c r="CN150" s="331"/>
      <c r="CO150" s="331"/>
      <c r="CP150" s="331"/>
      <c r="CQ150" s="331"/>
      <c r="CR150" s="331"/>
      <c r="CS150" s="331"/>
      <c r="CT150" s="331"/>
      <c r="CU150" s="331"/>
      <c r="CV150" s="331"/>
      <c r="CW150" s="331"/>
      <c r="CX150" s="331"/>
      <c r="CY150" s="331"/>
      <c r="CZ150" s="331"/>
      <c r="DA150" s="331"/>
      <c r="DB150" s="331"/>
      <c r="DC150" s="331"/>
      <c r="DD150" s="331"/>
      <c r="DE150" s="331"/>
      <c r="DF150" s="331"/>
      <c r="DG150" s="331"/>
      <c r="DH150" s="331"/>
      <c r="DI150" s="331"/>
      <c r="DJ150" s="331"/>
      <c r="DK150" s="331"/>
      <c r="DL150" s="331"/>
      <c r="DM150" s="331"/>
      <c r="DN150" s="331"/>
      <c r="DO150" s="331"/>
      <c r="DP150" s="331"/>
      <c r="DQ150" s="331"/>
      <c r="DR150" s="331"/>
      <c r="DS150" s="331"/>
      <c r="DT150" s="331"/>
      <c r="DU150" s="331"/>
      <c r="DV150" s="331"/>
      <c r="DW150" s="331"/>
      <c r="DX150" s="331"/>
      <c r="DY150" s="331"/>
    </row>
    <row r="151" spans="1:129" s="331" customFormat="1" ht="63.75" x14ac:dyDescent="0.25">
      <c r="A151" s="257">
        <v>312</v>
      </c>
      <c r="B151" s="376" t="s">
        <v>431</v>
      </c>
      <c r="C151" s="257">
        <v>2</v>
      </c>
      <c r="D151" s="376" t="s">
        <v>382</v>
      </c>
      <c r="E151" s="257">
        <v>2</v>
      </c>
      <c r="F151" s="376" t="s">
        <v>159</v>
      </c>
      <c r="G151" s="257">
        <v>17</v>
      </c>
      <c r="H151" s="376" t="s">
        <v>212</v>
      </c>
      <c r="I151" s="257">
        <v>1702</v>
      </c>
      <c r="J151" s="376" t="s">
        <v>432</v>
      </c>
      <c r="K151" s="257">
        <v>1702011</v>
      </c>
      <c r="L151" s="376" t="s">
        <v>433</v>
      </c>
      <c r="M151" s="257" t="s">
        <v>434</v>
      </c>
      <c r="N151" s="388" t="s">
        <v>435</v>
      </c>
      <c r="O151" s="378" t="s">
        <v>26</v>
      </c>
      <c r="P151" s="280">
        <v>30</v>
      </c>
      <c r="Q151" s="304">
        <v>30</v>
      </c>
      <c r="R151" s="380">
        <v>2020003630079</v>
      </c>
      <c r="S151" s="376" t="s">
        <v>436</v>
      </c>
      <c r="T151" s="381"/>
      <c r="U151" s="381"/>
      <c r="V151" s="381"/>
      <c r="W151" s="381"/>
      <c r="X151" s="381"/>
      <c r="Y151" s="381"/>
      <c r="Z151" s="381"/>
      <c r="AA151" s="381"/>
      <c r="AB151" s="381"/>
      <c r="AC151" s="381"/>
      <c r="AD151" s="381"/>
      <c r="AE151" s="381"/>
      <c r="AF151" s="381"/>
      <c r="AG151" s="381"/>
      <c r="AH151" s="381"/>
      <c r="AI151" s="381"/>
      <c r="AJ151" s="381"/>
      <c r="AK151" s="381"/>
      <c r="AL151" s="400">
        <f>180000000-43200000</f>
        <v>136800000</v>
      </c>
      <c r="AM151" s="400">
        <v>136800000</v>
      </c>
      <c r="AN151" s="400">
        <v>136800000</v>
      </c>
      <c r="AO151" s="381"/>
      <c r="AP151" s="381"/>
      <c r="AQ151" s="381"/>
      <c r="AR151" s="381"/>
      <c r="AS151" s="381"/>
      <c r="AT151" s="381"/>
      <c r="AU151" s="381">
        <f t="shared" si="8"/>
        <v>136800000</v>
      </c>
      <c r="AV151" s="381">
        <f t="shared" si="9"/>
        <v>136800000</v>
      </c>
      <c r="AW151" s="381">
        <f t="shared" si="10"/>
        <v>136800000</v>
      </c>
      <c r="AX151" s="461" t="s">
        <v>437</v>
      </c>
    </row>
    <row r="152" spans="1:129" s="331" customFormat="1" ht="63.75" x14ac:dyDescent="0.25">
      <c r="A152" s="257">
        <v>312</v>
      </c>
      <c r="B152" s="376" t="s">
        <v>431</v>
      </c>
      <c r="C152" s="257">
        <v>2</v>
      </c>
      <c r="D152" s="376" t="s">
        <v>382</v>
      </c>
      <c r="E152" s="257">
        <v>2</v>
      </c>
      <c r="F152" s="376" t="s">
        <v>159</v>
      </c>
      <c r="G152" s="257">
        <v>17</v>
      </c>
      <c r="H152" s="376" t="s">
        <v>212</v>
      </c>
      <c r="I152" s="257">
        <v>1702</v>
      </c>
      <c r="J152" s="376" t="s">
        <v>432</v>
      </c>
      <c r="K152" s="257">
        <v>1702007</v>
      </c>
      <c r="L152" s="376" t="s">
        <v>438</v>
      </c>
      <c r="M152" s="263" t="s">
        <v>439</v>
      </c>
      <c r="N152" s="388" t="s">
        <v>440</v>
      </c>
      <c r="O152" s="382" t="s">
        <v>67</v>
      </c>
      <c r="P152" s="280">
        <v>3</v>
      </c>
      <c r="Q152" s="304">
        <v>1</v>
      </c>
      <c r="R152" s="380">
        <v>2020003630079</v>
      </c>
      <c r="S152" s="376" t="s">
        <v>436</v>
      </c>
      <c r="T152" s="381"/>
      <c r="U152" s="381"/>
      <c r="V152" s="381"/>
      <c r="W152" s="381"/>
      <c r="X152" s="381"/>
      <c r="Y152" s="381"/>
      <c r="Z152" s="381"/>
      <c r="AA152" s="381"/>
      <c r="AB152" s="381"/>
      <c r="AC152" s="381"/>
      <c r="AD152" s="381"/>
      <c r="AE152" s="381"/>
      <c r="AF152" s="381"/>
      <c r="AG152" s="381"/>
      <c r="AH152" s="381"/>
      <c r="AI152" s="381"/>
      <c r="AJ152" s="381"/>
      <c r="AK152" s="381"/>
      <c r="AL152" s="400">
        <f>390000000-90000000</f>
        <v>300000000</v>
      </c>
      <c r="AM152" s="400">
        <v>300000000</v>
      </c>
      <c r="AN152" s="400">
        <v>300000000</v>
      </c>
      <c r="AO152" s="381"/>
      <c r="AP152" s="381"/>
      <c r="AQ152" s="381"/>
      <c r="AR152" s="381"/>
      <c r="AS152" s="381"/>
      <c r="AT152" s="381"/>
      <c r="AU152" s="381">
        <f t="shared" si="8"/>
        <v>300000000</v>
      </c>
      <c r="AV152" s="381">
        <f t="shared" si="9"/>
        <v>300000000</v>
      </c>
      <c r="AW152" s="381">
        <f t="shared" si="10"/>
        <v>300000000</v>
      </c>
      <c r="AX152" s="461" t="s">
        <v>437</v>
      </c>
    </row>
    <row r="153" spans="1:129" s="331" customFormat="1" ht="63.75" x14ac:dyDescent="0.25">
      <c r="A153" s="257">
        <v>312</v>
      </c>
      <c r="B153" s="376" t="s">
        <v>431</v>
      </c>
      <c r="C153" s="257">
        <v>2</v>
      </c>
      <c r="D153" s="376" t="s">
        <v>382</v>
      </c>
      <c r="E153" s="257">
        <v>2</v>
      </c>
      <c r="F153" s="376" t="s">
        <v>159</v>
      </c>
      <c r="G153" s="257">
        <v>17</v>
      </c>
      <c r="H153" s="376" t="s">
        <v>212</v>
      </c>
      <c r="I153" s="257">
        <v>1702</v>
      </c>
      <c r="J153" s="376" t="s">
        <v>432</v>
      </c>
      <c r="K153" s="257">
        <v>1702009</v>
      </c>
      <c r="L153" s="376" t="s">
        <v>441</v>
      </c>
      <c r="M153" s="263" t="s">
        <v>442</v>
      </c>
      <c r="N153" s="388" t="s">
        <v>443</v>
      </c>
      <c r="O153" s="382" t="s">
        <v>67</v>
      </c>
      <c r="P153" s="280">
        <v>166</v>
      </c>
      <c r="Q153" s="304">
        <v>23</v>
      </c>
      <c r="R153" s="380">
        <v>2020003630079</v>
      </c>
      <c r="S153" s="376" t="s">
        <v>436</v>
      </c>
      <c r="T153" s="381"/>
      <c r="U153" s="381"/>
      <c r="V153" s="381"/>
      <c r="W153" s="381"/>
      <c r="X153" s="381"/>
      <c r="Y153" s="381"/>
      <c r="Z153" s="381"/>
      <c r="AA153" s="381"/>
      <c r="AB153" s="381"/>
      <c r="AC153" s="381"/>
      <c r="AD153" s="381"/>
      <c r="AE153" s="381"/>
      <c r="AF153" s="381"/>
      <c r="AG153" s="381"/>
      <c r="AH153" s="381"/>
      <c r="AI153" s="381"/>
      <c r="AJ153" s="381"/>
      <c r="AK153" s="381"/>
      <c r="AL153" s="400">
        <f>80000000-52183333</f>
        <v>27816667</v>
      </c>
      <c r="AM153" s="400">
        <v>27816667</v>
      </c>
      <c r="AN153" s="400">
        <v>27816667</v>
      </c>
      <c r="AO153" s="381"/>
      <c r="AP153" s="381"/>
      <c r="AQ153" s="381"/>
      <c r="AR153" s="381"/>
      <c r="AS153" s="381"/>
      <c r="AT153" s="381"/>
      <c r="AU153" s="381">
        <f t="shared" si="8"/>
        <v>27816667</v>
      </c>
      <c r="AV153" s="381">
        <f t="shared" si="9"/>
        <v>27816667</v>
      </c>
      <c r="AW153" s="381">
        <f t="shared" si="10"/>
        <v>27816667</v>
      </c>
      <c r="AX153" s="461" t="s">
        <v>437</v>
      </c>
    </row>
    <row r="154" spans="1:129" s="332" customFormat="1" ht="63.75" x14ac:dyDescent="0.25">
      <c r="A154" s="259">
        <v>312</v>
      </c>
      <c r="B154" s="325" t="s">
        <v>431</v>
      </c>
      <c r="C154" s="306"/>
      <c r="D154" s="386"/>
      <c r="E154" s="306">
        <v>2</v>
      </c>
      <c r="F154" s="386" t="s">
        <v>159</v>
      </c>
      <c r="G154" s="305">
        <v>17</v>
      </c>
      <c r="H154" s="385" t="s">
        <v>212</v>
      </c>
      <c r="I154" s="305">
        <v>1702</v>
      </c>
      <c r="J154" s="333" t="s">
        <v>432</v>
      </c>
      <c r="K154" s="313">
        <v>1702007</v>
      </c>
      <c r="L154" s="333" t="s">
        <v>438</v>
      </c>
      <c r="M154" s="266">
        <v>170200700</v>
      </c>
      <c r="N154" s="333" t="s">
        <v>440</v>
      </c>
      <c r="O154" s="305" t="s">
        <v>67</v>
      </c>
      <c r="P154" s="305">
        <v>2</v>
      </c>
      <c r="Q154" s="305">
        <v>0</v>
      </c>
      <c r="R154" s="281">
        <v>2024003630052</v>
      </c>
      <c r="S154" s="325" t="s">
        <v>444</v>
      </c>
      <c r="T154" s="328"/>
      <c r="U154" s="328"/>
      <c r="V154" s="328"/>
      <c r="W154" s="328"/>
      <c r="X154" s="328"/>
      <c r="Y154" s="328"/>
      <c r="Z154" s="328"/>
      <c r="AA154" s="328"/>
      <c r="AB154" s="328"/>
      <c r="AC154" s="328"/>
      <c r="AD154" s="328"/>
      <c r="AE154" s="328"/>
      <c r="AF154" s="328"/>
      <c r="AG154" s="328"/>
      <c r="AH154" s="328"/>
      <c r="AI154" s="328"/>
      <c r="AJ154" s="328"/>
      <c r="AK154" s="328"/>
      <c r="AL154" s="404">
        <v>78000000</v>
      </c>
      <c r="AM154" s="404">
        <v>0</v>
      </c>
      <c r="AN154" s="404">
        <v>0</v>
      </c>
      <c r="AO154" s="328"/>
      <c r="AP154" s="328"/>
      <c r="AQ154" s="328"/>
      <c r="AR154" s="328"/>
      <c r="AS154" s="328"/>
      <c r="AT154" s="328"/>
      <c r="AU154" s="328">
        <f t="shared" si="8"/>
        <v>78000000</v>
      </c>
      <c r="AV154" s="328">
        <f t="shared" si="9"/>
        <v>0</v>
      </c>
      <c r="AW154" s="328">
        <f t="shared" si="10"/>
        <v>0</v>
      </c>
      <c r="AX154" s="462" t="s">
        <v>437</v>
      </c>
      <c r="AY154" s="331"/>
      <c r="AZ154" s="331"/>
      <c r="BA154" s="331"/>
      <c r="BB154" s="331"/>
      <c r="BC154" s="331"/>
      <c r="BD154" s="331"/>
      <c r="BE154" s="331"/>
      <c r="BF154" s="331"/>
      <c r="BG154" s="331"/>
      <c r="BH154" s="331"/>
      <c r="BI154" s="331"/>
      <c r="BJ154" s="331"/>
      <c r="BK154" s="331"/>
      <c r="BL154" s="331"/>
      <c r="BM154" s="331"/>
      <c r="BN154" s="331"/>
      <c r="BO154" s="331"/>
      <c r="BP154" s="331"/>
      <c r="BQ154" s="331"/>
      <c r="BR154" s="331"/>
      <c r="BS154" s="331"/>
      <c r="BT154" s="331"/>
      <c r="BU154" s="331"/>
      <c r="BV154" s="331"/>
      <c r="BW154" s="331"/>
      <c r="BX154" s="331"/>
      <c r="BY154" s="331"/>
      <c r="BZ154" s="331"/>
      <c r="CA154" s="331"/>
      <c r="CB154" s="331"/>
      <c r="CC154" s="331"/>
      <c r="CD154" s="331"/>
      <c r="CE154" s="331"/>
      <c r="CF154" s="331"/>
      <c r="CG154" s="331"/>
      <c r="CH154" s="331"/>
      <c r="CI154" s="331"/>
      <c r="CJ154" s="331"/>
      <c r="CK154" s="331"/>
      <c r="CL154" s="331"/>
      <c r="CM154" s="331"/>
      <c r="CN154" s="331"/>
      <c r="CO154" s="331"/>
      <c r="CP154" s="331"/>
      <c r="CQ154" s="331"/>
      <c r="CR154" s="331"/>
      <c r="CS154" s="331"/>
      <c r="CT154" s="331"/>
      <c r="CU154" s="331"/>
      <c r="CV154" s="331"/>
      <c r="CW154" s="331"/>
      <c r="CX154" s="331"/>
      <c r="CY154" s="331"/>
      <c r="CZ154" s="331"/>
      <c r="DA154" s="331"/>
      <c r="DB154" s="331"/>
      <c r="DC154" s="331"/>
      <c r="DD154" s="331"/>
      <c r="DE154" s="331"/>
      <c r="DF154" s="331"/>
      <c r="DG154" s="331"/>
      <c r="DH154" s="331"/>
      <c r="DI154" s="331"/>
      <c r="DJ154" s="331"/>
      <c r="DK154" s="331"/>
      <c r="DL154" s="331"/>
      <c r="DM154" s="331"/>
      <c r="DN154" s="331"/>
      <c r="DO154" s="331"/>
      <c r="DP154" s="331"/>
      <c r="DQ154" s="331"/>
      <c r="DR154" s="331"/>
      <c r="DS154" s="331"/>
      <c r="DT154" s="331"/>
      <c r="DU154" s="331"/>
      <c r="DV154" s="331"/>
      <c r="DW154" s="331"/>
      <c r="DX154" s="331"/>
      <c r="DY154" s="331"/>
    </row>
    <row r="155" spans="1:129" s="332" customFormat="1" ht="63.75" x14ac:dyDescent="0.25">
      <c r="A155" s="259">
        <v>312</v>
      </c>
      <c r="B155" s="325" t="s">
        <v>431</v>
      </c>
      <c r="C155" s="306"/>
      <c r="D155" s="386"/>
      <c r="E155" s="306">
        <v>2</v>
      </c>
      <c r="F155" s="386" t="s">
        <v>159</v>
      </c>
      <c r="G155" s="305">
        <v>17</v>
      </c>
      <c r="H155" s="385" t="s">
        <v>212</v>
      </c>
      <c r="I155" s="305">
        <v>1702</v>
      </c>
      <c r="J155" s="333" t="s">
        <v>432</v>
      </c>
      <c r="K155" s="313">
        <v>1702009</v>
      </c>
      <c r="L155" s="333" t="s">
        <v>441</v>
      </c>
      <c r="M155" s="266">
        <v>170200900</v>
      </c>
      <c r="N155" s="333" t="s">
        <v>443</v>
      </c>
      <c r="O155" s="305" t="s">
        <v>67</v>
      </c>
      <c r="P155" s="305">
        <v>80</v>
      </c>
      <c r="Q155" s="305">
        <v>15</v>
      </c>
      <c r="R155" s="281">
        <v>2024003630052</v>
      </c>
      <c r="S155" s="325" t="s">
        <v>444</v>
      </c>
      <c r="T155" s="328"/>
      <c r="U155" s="328"/>
      <c r="V155" s="328"/>
      <c r="W155" s="328"/>
      <c r="X155" s="328"/>
      <c r="Y155" s="328"/>
      <c r="Z155" s="328"/>
      <c r="AA155" s="328"/>
      <c r="AB155" s="328"/>
      <c r="AC155" s="328"/>
      <c r="AD155" s="328"/>
      <c r="AE155" s="328"/>
      <c r="AF155" s="328"/>
      <c r="AG155" s="328"/>
      <c r="AH155" s="328"/>
      <c r="AI155" s="328"/>
      <c r="AJ155" s="328"/>
      <c r="AK155" s="328"/>
      <c r="AL155" s="404">
        <v>52183333</v>
      </c>
      <c r="AM155" s="404">
        <v>0</v>
      </c>
      <c r="AN155" s="404">
        <v>0</v>
      </c>
      <c r="AO155" s="328"/>
      <c r="AP155" s="328"/>
      <c r="AQ155" s="328"/>
      <c r="AR155" s="328"/>
      <c r="AS155" s="328"/>
      <c r="AT155" s="328"/>
      <c r="AU155" s="328">
        <f t="shared" si="8"/>
        <v>52183333</v>
      </c>
      <c r="AV155" s="328">
        <f t="shared" si="9"/>
        <v>0</v>
      </c>
      <c r="AW155" s="328">
        <f t="shared" si="10"/>
        <v>0</v>
      </c>
      <c r="AX155" s="462" t="s">
        <v>437</v>
      </c>
      <c r="AY155" s="331"/>
      <c r="AZ155" s="331"/>
      <c r="BA155" s="331"/>
      <c r="BB155" s="331"/>
      <c r="BC155" s="331"/>
      <c r="BD155" s="331"/>
      <c r="BE155" s="331"/>
      <c r="BF155" s="331"/>
      <c r="BG155" s="331"/>
      <c r="BH155" s="331"/>
      <c r="BI155" s="331"/>
      <c r="BJ155" s="331"/>
      <c r="BK155" s="331"/>
      <c r="BL155" s="331"/>
      <c r="BM155" s="331"/>
      <c r="BN155" s="331"/>
      <c r="BO155" s="331"/>
      <c r="BP155" s="331"/>
      <c r="BQ155" s="331"/>
      <c r="BR155" s="331"/>
      <c r="BS155" s="331"/>
      <c r="BT155" s="331"/>
      <c r="BU155" s="331"/>
      <c r="BV155" s="331"/>
      <c r="BW155" s="331"/>
      <c r="BX155" s="331"/>
      <c r="BY155" s="331"/>
      <c r="BZ155" s="331"/>
      <c r="CA155" s="331"/>
      <c r="CB155" s="331"/>
      <c r="CC155" s="331"/>
      <c r="CD155" s="331"/>
      <c r="CE155" s="331"/>
      <c r="CF155" s="331"/>
      <c r="CG155" s="331"/>
      <c r="CH155" s="331"/>
      <c r="CI155" s="331"/>
      <c r="CJ155" s="331"/>
      <c r="CK155" s="331"/>
      <c r="CL155" s="331"/>
      <c r="CM155" s="331"/>
      <c r="CN155" s="331"/>
      <c r="CO155" s="331"/>
      <c r="CP155" s="331"/>
      <c r="CQ155" s="331"/>
      <c r="CR155" s="331"/>
      <c r="CS155" s="331"/>
      <c r="CT155" s="331"/>
      <c r="CU155" s="331"/>
      <c r="CV155" s="331"/>
      <c r="CW155" s="331"/>
      <c r="CX155" s="331"/>
      <c r="CY155" s="331"/>
      <c r="CZ155" s="331"/>
      <c r="DA155" s="331"/>
      <c r="DB155" s="331"/>
      <c r="DC155" s="331"/>
      <c r="DD155" s="331"/>
      <c r="DE155" s="331"/>
      <c r="DF155" s="331"/>
      <c r="DG155" s="331"/>
      <c r="DH155" s="331"/>
      <c r="DI155" s="331"/>
      <c r="DJ155" s="331"/>
      <c r="DK155" s="331"/>
      <c r="DL155" s="331"/>
      <c r="DM155" s="331"/>
      <c r="DN155" s="331"/>
      <c r="DO155" s="331"/>
      <c r="DP155" s="331"/>
      <c r="DQ155" s="331"/>
      <c r="DR155" s="331"/>
      <c r="DS155" s="331"/>
      <c r="DT155" s="331"/>
      <c r="DU155" s="331"/>
      <c r="DV155" s="331"/>
      <c r="DW155" s="331"/>
      <c r="DX155" s="331"/>
      <c r="DY155" s="331"/>
    </row>
    <row r="156" spans="1:129" s="332" customFormat="1" ht="63.75" x14ac:dyDescent="0.25">
      <c r="A156" s="259">
        <v>312</v>
      </c>
      <c r="B156" s="325" t="s">
        <v>431</v>
      </c>
      <c r="C156" s="306"/>
      <c r="D156" s="386"/>
      <c r="E156" s="306">
        <v>2</v>
      </c>
      <c r="F156" s="386" t="s">
        <v>159</v>
      </c>
      <c r="G156" s="305">
        <v>17</v>
      </c>
      <c r="H156" s="385" t="s">
        <v>212</v>
      </c>
      <c r="I156" s="305">
        <v>1702</v>
      </c>
      <c r="J156" s="333" t="s">
        <v>432</v>
      </c>
      <c r="K156" s="313">
        <v>1702011</v>
      </c>
      <c r="L156" s="333" t="s">
        <v>433</v>
      </c>
      <c r="M156" s="266">
        <v>170201100</v>
      </c>
      <c r="N156" s="333" t="s">
        <v>435</v>
      </c>
      <c r="O156" s="305" t="s">
        <v>26</v>
      </c>
      <c r="P156" s="305">
        <v>40</v>
      </c>
      <c r="Q156" s="305">
        <v>5</v>
      </c>
      <c r="R156" s="281">
        <v>2024003630052</v>
      </c>
      <c r="S156" s="325" t="s">
        <v>444</v>
      </c>
      <c r="T156" s="328"/>
      <c r="U156" s="328"/>
      <c r="V156" s="328"/>
      <c r="W156" s="328"/>
      <c r="X156" s="328"/>
      <c r="Y156" s="328"/>
      <c r="Z156" s="328"/>
      <c r="AA156" s="328"/>
      <c r="AB156" s="328"/>
      <c r="AC156" s="328"/>
      <c r="AD156" s="328"/>
      <c r="AE156" s="328"/>
      <c r="AF156" s="328"/>
      <c r="AG156" s="328"/>
      <c r="AH156" s="328"/>
      <c r="AI156" s="328"/>
      <c r="AJ156" s="328"/>
      <c r="AK156" s="328"/>
      <c r="AL156" s="404">
        <v>43200000</v>
      </c>
      <c r="AM156" s="404">
        <v>43200000</v>
      </c>
      <c r="AN156" s="404">
        <v>29600000</v>
      </c>
      <c r="AO156" s="328"/>
      <c r="AP156" s="328"/>
      <c r="AQ156" s="328"/>
      <c r="AR156" s="328"/>
      <c r="AS156" s="328"/>
      <c r="AT156" s="328"/>
      <c r="AU156" s="328">
        <f t="shared" si="8"/>
        <v>43200000</v>
      </c>
      <c r="AV156" s="328">
        <f t="shared" si="9"/>
        <v>43200000</v>
      </c>
      <c r="AW156" s="328">
        <f t="shared" si="10"/>
        <v>29600000</v>
      </c>
      <c r="AX156" s="462" t="s">
        <v>437</v>
      </c>
      <c r="AY156" s="331"/>
      <c r="AZ156" s="331"/>
      <c r="BA156" s="331"/>
      <c r="BB156" s="331"/>
      <c r="BC156" s="331"/>
      <c r="BD156" s="331"/>
      <c r="BE156" s="331"/>
      <c r="BF156" s="331"/>
      <c r="BG156" s="331"/>
      <c r="BH156" s="331"/>
      <c r="BI156" s="331"/>
      <c r="BJ156" s="331"/>
      <c r="BK156" s="331"/>
      <c r="BL156" s="331"/>
      <c r="BM156" s="331"/>
      <c r="BN156" s="331"/>
      <c r="BO156" s="331"/>
      <c r="BP156" s="331"/>
      <c r="BQ156" s="331"/>
      <c r="BR156" s="331"/>
      <c r="BS156" s="331"/>
      <c r="BT156" s="331"/>
      <c r="BU156" s="331"/>
      <c r="BV156" s="331"/>
      <c r="BW156" s="331"/>
      <c r="BX156" s="331"/>
      <c r="BY156" s="331"/>
      <c r="BZ156" s="331"/>
      <c r="CA156" s="331"/>
      <c r="CB156" s="331"/>
      <c r="CC156" s="331"/>
      <c r="CD156" s="331"/>
      <c r="CE156" s="331"/>
      <c r="CF156" s="331"/>
      <c r="CG156" s="331"/>
      <c r="CH156" s="331"/>
      <c r="CI156" s="331"/>
      <c r="CJ156" s="331"/>
      <c r="CK156" s="331"/>
      <c r="CL156" s="331"/>
      <c r="CM156" s="331"/>
      <c r="CN156" s="331"/>
      <c r="CO156" s="331"/>
      <c r="CP156" s="331"/>
      <c r="CQ156" s="331"/>
      <c r="CR156" s="331"/>
      <c r="CS156" s="331"/>
      <c r="CT156" s="331"/>
      <c r="CU156" s="331"/>
      <c r="CV156" s="331"/>
      <c r="CW156" s="331"/>
      <c r="CX156" s="331"/>
      <c r="CY156" s="331"/>
      <c r="CZ156" s="331"/>
      <c r="DA156" s="331"/>
      <c r="DB156" s="331"/>
      <c r="DC156" s="331"/>
      <c r="DD156" s="331"/>
      <c r="DE156" s="331"/>
      <c r="DF156" s="331"/>
      <c r="DG156" s="331"/>
      <c r="DH156" s="331"/>
      <c r="DI156" s="331"/>
      <c r="DJ156" s="331"/>
      <c r="DK156" s="331"/>
      <c r="DL156" s="331"/>
      <c r="DM156" s="331"/>
      <c r="DN156" s="331"/>
      <c r="DO156" s="331"/>
      <c r="DP156" s="331"/>
      <c r="DQ156" s="331"/>
      <c r="DR156" s="331"/>
      <c r="DS156" s="331"/>
      <c r="DT156" s="331"/>
      <c r="DU156" s="331"/>
      <c r="DV156" s="331"/>
      <c r="DW156" s="331"/>
      <c r="DX156" s="331"/>
      <c r="DY156" s="331"/>
    </row>
    <row r="157" spans="1:129" s="331" customFormat="1" ht="63.75" x14ac:dyDescent="0.25">
      <c r="A157" s="257">
        <v>312</v>
      </c>
      <c r="B157" s="376" t="s">
        <v>431</v>
      </c>
      <c r="C157" s="257">
        <v>2</v>
      </c>
      <c r="D157" s="376" t="s">
        <v>382</v>
      </c>
      <c r="E157" s="257">
        <v>2</v>
      </c>
      <c r="F157" s="376" t="s">
        <v>159</v>
      </c>
      <c r="G157" s="257">
        <v>17</v>
      </c>
      <c r="H157" s="376" t="s">
        <v>212</v>
      </c>
      <c r="I157" s="257">
        <v>1702</v>
      </c>
      <c r="J157" s="376" t="s">
        <v>432</v>
      </c>
      <c r="K157" s="257">
        <v>1702038</v>
      </c>
      <c r="L157" s="376" t="s">
        <v>445</v>
      </c>
      <c r="M157" s="257" t="s">
        <v>446</v>
      </c>
      <c r="N157" s="388" t="s">
        <v>447</v>
      </c>
      <c r="O157" s="378" t="s">
        <v>26</v>
      </c>
      <c r="P157" s="280">
        <v>30</v>
      </c>
      <c r="Q157" s="299">
        <v>33</v>
      </c>
      <c r="R157" s="380">
        <v>2020003630080</v>
      </c>
      <c r="S157" s="418" t="s">
        <v>448</v>
      </c>
      <c r="T157" s="381"/>
      <c r="U157" s="381"/>
      <c r="V157" s="381"/>
      <c r="W157" s="381"/>
      <c r="X157" s="381"/>
      <c r="Y157" s="381"/>
      <c r="Z157" s="381"/>
      <c r="AA157" s="381"/>
      <c r="AB157" s="381"/>
      <c r="AC157" s="381"/>
      <c r="AD157" s="381"/>
      <c r="AE157" s="381"/>
      <c r="AF157" s="381"/>
      <c r="AG157" s="381"/>
      <c r="AH157" s="381"/>
      <c r="AI157" s="381"/>
      <c r="AJ157" s="381"/>
      <c r="AK157" s="381"/>
      <c r="AL157" s="400">
        <f>90000000-33400000-7000000</f>
        <v>49600000</v>
      </c>
      <c r="AM157" s="400">
        <v>49600000</v>
      </c>
      <c r="AN157" s="400">
        <v>49600000</v>
      </c>
      <c r="AO157" s="381"/>
      <c r="AP157" s="381"/>
      <c r="AQ157" s="381"/>
      <c r="AR157" s="381"/>
      <c r="AS157" s="381"/>
      <c r="AT157" s="381"/>
      <c r="AU157" s="381">
        <f t="shared" si="8"/>
        <v>49600000</v>
      </c>
      <c r="AV157" s="381">
        <f t="shared" si="9"/>
        <v>49600000</v>
      </c>
      <c r="AW157" s="381">
        <f t="shared" si="10"/>
        <v>49600000</v>
      </c>
      <c r="AX157" s="461" t="s">
        <v>437</v>
      </c>
    </row>
    <row r="158" spans="1:129" s="331" customFormat="1" ht="63.75" x14ac:dyDescent="0.25">
      <c r="A158" s="257">
        <v>312</v>
      </c>
      <c r="B158" s="376" t="s">
        <v>431</v>
      </c>
      <c r="C158" s="257">
        <v>2</v>
      </c>
      <c r="D158" s="376" t="s">
        <v>382</v>
      </c>
      <c r="E158" s="257">
        <v>2</v>
      </c>
      <c r="F158" s="376" t="s">
        <v>159</v>
      </c>
      <c r="G158" s="257">
        <v>17</v>
      </c>
      <c r="H158" s="376" t="s">
        <v>212</v>
      </c>
      <c r="I158" s="257">
        <v>1702</v>
      </c>
      <c r="J158" s="376" t="s">
        <v>432</v>
      </c>
      <c r="K158" s="257">
        <v>1702038</v>
      </c>
      <c r="L158" s="376" t="s">
        <v>445</v>
      </c>
      <c r="M158" s="257" t="s">
        <v>449</v>
      </c>
      <c r="N158" s="388" t="s">
        <v>450</v>
      </c>
      <c r="O158" s="382" t="s">
        <v>67</v>
      </c>
      <c r="P158" s="280">
        <v>80</v>
      </c>
      <c r="Q158" s="299">
        <v>38</v>
      </c>
      <c r="R158" s="380">
        <v>2020003630080</v>
      </c>
      <c r="S158" s="418" t="s">
        <v>448</v>
      </c>
      <c r="T158" s="381"/>
      <c r="U158" s="381"/>
      <c r="V158" s="381"/>
      <c r="W158" s="381"/>
      <c r="X158" s="381"/>
      <c r="Y158" s="381"/>
      <c r="Z158" s="381"/>
      <c r="AA158" s="381"/>
      <c r="AB158" s="381"/>
      <c r="AC158" s="381"/>
      <c r="AD158" s="381"/>
      <c r="AE158" s="381"/>
      <c r="AF158" s="381"/>
      <c r="AG158" s="381"/>
      <c r="AH158" s="381"/>
      <c r="AI158" s="381"/>
      <c r="AJ158" s="381"/>
      <c r="AK158" s="381"/>
      <c r="AL158" s="400">
        <f>98000000-75133334+7000000</f>
        <v>29866666</v>
      </c>
      <c r="AM158" s="400">
        <v>29866666</v>
      </c>
      <c r="AN158" s="400">
        <v>29866666</v>
      </c>
      <c r="AO158" s="381"/>
      <c r="AP158" s="381"/>
      <c r="AQ158" s="381"/>
      <c r="AR158" s="381"/>
      <c r="AS158" s="381"/>
      <c r="AT158" s="381"/>
      <c r="AU158" s="381">
        <f t="shared" si="8"/>
        <v>29866666</v>
      </c>
      <c r="AV158" s="381">
        <f t="shared" si="9"/>
        <v>29866666</v>
      </c>
      <c r="AW158" s="381">
        <f t="shared" si="10"/>
        <v>29866666</v>
      </c>
      <c r="AX158" s="461" t="s">
        <v>437</v>
      </c>
    </row>
    <row r="159" spans="1:129" s="332" customFormat="1" ht="63.75" x14ac:dyDescent="0.25">
      <c r="A159" s="259">
        <v>312</v>
      </c>
      <c r="B159" s="325" t="s">
        <v>431</v>
      </c>
      <c r="C159" s="306"/>
      <c r="D159" s="463"/>
      <c r="E159" s="306">
        <v>2</v>
      </c>
      <c r="F159" s="463" t="s">
        <v>159</v>
      </c>
      <c r="G159" s="305">
        <v>17</v>
      </c>
      <c r="H159" s="385" t="s">
        <v>212</v>
      </c>
      <c r="I159" s="305">
        <v>1702</v>
      </c>
      <c r="J159" s="333" t="s">
        <v>432</v>
      </c>
      <c r="K159" s="313">
        <v>1702038</v>
      </c>
      <c r="L159" s="333" t="s">
        <v>445</v>
      </c>
      <c r="M159" s="266">
        <v>170203800</v>
      </c>
      <c r="N159" s="333" t="s">
        <v>447</v>
      </c>
      <c r="O159" s="305" t="s">
        <v>26</v>
      </c>
      <c r="P159" s="305">
        <v>40</v>
      </c>
      <c r="Q159" s="305">
        <v>2</v>
      </c>
      <c r="R159" s="281">
        <v>2024003630070</v>
      </c>
      <c r="S159" s="464" t="s">
        <v>451</v>
      </c>
      <c r="T159" s="328"/>
      <c r="U159" s="328"/>
      <c r="V159" s="328"/>
      <c r="W159" s="328"/>
      <c r="X159" s="328"/>
      <c r="Y159" s="328"/>
      <c r="Z159" s="328"/>
      <c r="AA159" s="328"/>
      <c r="AB159" s="328"/>
      <c r="AC159" s="328"/>
      <c r="AD159" s="328"/>
      <c r="AE159" s="328"/>
      <c r="AF159" s="328"/>
      <c r="AG159" s="328"/>
      <c r="AH159" s="328"/>
      <c r="AI159" s="328"/>
      <c r="AJ159" s="328"/>
      <c r="AK159" s="328"/>
      <c r="AL159" s="404">
        <v>33400000</v>
      </c>
      <c r="AM159" s="404">
        <v>33400000</v>
      </c>
      <c r="AN159" s="404">
        <v>46900000</v>
      </c>
      <c r="AO159" s="328"/>
      <c r="AP159" s="328"/>
      <c r="AQ159" s="328"/>
      <c r="AR159" s="328"/>
      <c r="AS159" s="328"/>
      <c r="AT159" s="328"/>
      <c r="AU159" s="328">
        <f t="shared" si="8"/>
        <v>33400000</v>
      </c>
      <c r="AV159" s="328">
        <f t="shared" si="9"/>
        <v>33400000</v>
      </c>
      <c r="AW159" s="328">
        <f t="shared" si="10"/>
        <v>46900000</v>
      </c>
      <c r="AX159" s="462" t="s">
        <v>437</v>
      </c>
      <c r="AY159" s="331"/>
      <c r="AZ159" s="331"/>
      <c r="BA159" s="331"/>
      <c r="BB159" s="331"/>
      <c r="BC159" s="331"/>
      <c r="BD159" s="331"/>
      <c r="BE159" s="331"/>
      <c r="BF159" s="331"/>
      <c r="BG159" s="331"/>
      <c r="BH159" s="331"/>
      <c r="BI159" s="331"/>
      <c r="BJ159" s="331"/>
      <c r="BK159" s="331"/>
      <c r="BL159" s="331"/>
      <c r="BM159" s="331"/>
      <c r="BN159" s="331"/>
      <c r="BO159" s="331"/>
      <c r="BP159" s="331"/>
      <c r="BQ159" s="331"/>
      <c r="BR159" s="331"/>
      <c r="BS159" s="331"/>
      <c r="BT159" s="331"/>
      <c r="BU159" s="331"/>
      <c r="BV159" s="331"/>
      <c r="BW159" s="331"/>
      <c r="BX159" s="331"/>
      <c r="BY159" s="331"/>
      <c r="BZ159" s="331"/>
      <c r="CA159" s="331"/>
      <c r="CB159" s="331"/>
      <c r="CC159" s="331"/>
      <c r="CD159" s="331"/>
      <c r="CE159" s="331"/>
      <c r="CF159" s="331"/>
      <c r="CG159" s="331"/>
      <c r="CH159" s="331"/>
      <c r="CI159" s="331"/>
      <c r="CJ159" s="331"/>
      <c r="CK159" s="331"/>
      <c r="CL159" s="331"/>
      <c r="CM159" s="331"/>
      <c r="CN159" s="331"/>
      <c r="CO159" s="331"/>
      <c r="CP159" s="331"/>
      <c r="CQ159" s="331"/>
      <c r="CR159" s="331"/>
      <c r="CS159" s="331"/>
      <c r="CT159" s="331"/>
      <c r="CU159" s="331"/>
      <c r="CV159" s="331"/>
      <c r="CW159" s="331"/>
      <c r="CX159" s="331"/>
      <c r="CY159" s="331"/>
      <c r="CZ159" s="331"/>
      <c r="DA159" s="331"/>
      <c r="DB159" s="331"/>
      <c r="DC159" s="331"/>
      <c r="DD159" s="331"/>
      <c r="DE159" s="331"/>
      <c r="DF159" s="331"/>
      <c r="DG159" s="331"/>
      <c r="DH159" s="331"/>
      <c r="DI159" s="331"/>
      <c r="DJ159" s="331"/>
      <c r="DK159" s="331"/>
      <c r="DL159" s="331"/>
      <c r="DM159" s="331"/>
      <c r="DN159" s="331"/>
      <c r="DO159" s="331"/>
      <c r="DP159" s="331"/>
      <c r="DQ159" s="331"/>
      <c r="DR159" s="331"/>
      <c r="DS159" s="331"/>
      <c r="DT159" s="331"/>
      <c r="DU159" s="331"/>
      <c r="DV159" s="331"/>
      <c r="DW159" s="331"/>
      <c r="DX159" s="331"/>
      <c r="DY159" s="331"/>
    </row>
    <row r="160" spans="1:129" s="332" customFormat="1" ht="63.75" x14ac:dyDescent="0.25">
      <c r="A160" s="259">
        <v>312</v>
      </c>
      <c r="B160" s="325" t="s">
        <v>431</v>
      </c>
      <c r="C160" s="306"/>
      <c r="D160" s="463"/>
      <c r="E160" s="306">
        <v>2</v>
      </c>
      <c r="F160" s="463" t="s">
        <v>159</v>
      </c>
      <c r="G160" s="305">
        <v>17</v>
      </c>
      <c r="H160" s="385" t="s">
        <v>212</v>
      </c>
      <c r="I160" s="305">
        <v>1702</v>
      </c>
      <c r="J160" s="333" t="s">
        <v>432</v>
      </c>
      <c r="K160" s="259">
        <v>1702038</v>
      </c>
      <c r="L160" s="333" t="s">
        <v>445</v>
      </c>
      <c r="M160" s="266">
        <v>170203801</v>
      </c>
      <c r="N160" s="333" t="s">
        <v>450</v>
      </c>
      <c r="O160" s="305" t="s">
        <v>67</v>
      </c>
      <c r="P160" s="305">
        <v>100</v>
      </c>
      <c r="Q160" s="305">
        <v>38</v>
      </c>
      <c r="R160" s="281">
        <v>2024003630070</v>
      </c>
      <c r="S160" s="464" t="s">
        <v>451</v>
      </c>
      <c r="T160" s="328"/>
      <c r="U160" s="328"/>
      <c r="V160" s="328"/>
      <c r="W160" s="328"/>
      <c r="X160" s="328"/>
      <c r="Y160" s="328"/>
      <c r="Z160" s="328"/>
      <c r="AA160" s="328"/>
      <c r="AB160" s="328"/>
      <c r="AC160" s="328"/>
      <c r="AD160" s="328"/>
      <c r="AE160" s="328"/>
      <c r="AF160" s="328"/>
      <c r="AG160" s="328"/>
      <c r="AH160" s="328"/>
      <c r="AI160" s="328"/>
      <c r="AJ160" s="328"/>
      <c r="AK160" s="328"/>
      <c r="AL160" s="404">
        <v>75133334</v>
      </c>
      <c r="AM160" s="404">
        <v>54825020</v>
      </c>
      <c r="AN160" s="404">
        <v>3700000</v>
      </c>
      <c r="AO160" s="328"/>
      <c r="AP160" s="328"/>
      <c r="AQ160" s="328"/>
      <c r="AR160" s="328"/>
      <c r="AS160" s="328"/>
      <c r="AT160" s="328"/>
      <c r="AU160" s="328">
        <f t="shared" si="8"/>
        <v>75133334</v>
      </c>
      <c r="AV160" s="328">
        <f t="shared" si="9"/>
        <v>54825020</v>
      </c>
      <c r="AW160" s="328">
        <f t="shared" si="10"/>
        <v>3700000</v>
      </c>
      <c r="AX160" s="462" t="s">
        <v>437</v>
      </c>
      <c r="AY160" s="331"/>
      <c r="AZ160" s="331"/>
      <c r="BA160" s="331"/>
      <c r="BB160" s="331"/>
      <c r="BC160" s="331"/>
      <c r="BD160" s="331"/>
      <c r="BE160" s="331"/>
      <c r="BF160" s="331"/>
      <c r="BG160" s="331"/>
      <c r="BH160" s="331"/>
      <c r="BI160" s="331"/>
      <c r="BJ160" s="331"/>
      <c r="BK160" s="331"/>
      <c r="BL160" s="331"/>
      <c r="BM160" s="331"/>
      <c r="BN160" s="331"/>
      <c r="BO160" s="331"/>
      <c r="BP160" s="331"/>
      <c r="BQ160" s="331"/>
      <c r="BR160" s="331"/>
      <c r="BS160" s="331"/>
      <c r="BT160" s="331"/>
      <c r="BU160" s="331"/>
      <c r="BV160" s="331"/>
      <c r="BW160" s="331"/>
      <c r="BX160" s="331"/>
      <c r="BY160" s="331"/>
      <c r="BZ160" s="331"/>
      <c r="CA160" s="331"/>
      <c r="CB160" s="331"/>
      <c r="CC160" s="331"/>
      <c r="CD160" s="331"/>
      <c r="CE160" s="331"/>
      <c r="CF160" s="331"/>
      <c r="CG160" s="331"/>
      <c r="CH160" s="331"/>
      <c r="CI160" s="331"/>
      <c r="CJ160" s="331"/>
      <c r="CK160" s="331"/>
      <c r="CL160" s="331"/>
      <c r="CM160" s="331"/>
      <c r="CN160" s="331"/>
      <c r="CO160" s="331"/>
      <c r="CP160" s="331"/>
      <c r="CQ160" s="331"/>
      <c r="CR160" s="331"/>
      <c r="CS160" s="331"/>
      <c r="CT160" s="331"/>
      <c r="CU160" s="331"/>
      <c r="CV160" s="331"/>
      <c r="CW160" s="331"/>
      <c r="CX160" s="331"/>
      <c r="CY160" s="331"/>
      <c r="CZ160" s="331"/>
      <c r="DA160" s="331"/>
      <c r="DB160" s="331"/>
      <c r="DC160" s="331"/>
      <c r="DD160" s="331"/>
      <c r="DE160" s="331"/>
      <c r="DF160" s="331"/>
      <c r="DG160" s="331"/>
      <c r="DH160" s="331"/>
      <c r="DI160" s="331"/>
      <c r="DJ160" s="331"/>
      <c r="DK160" s="331"/>
      <c r="DL160" s="331"/>
      <c r="DM160" s="331"/>
      <c r="DN160" s="331"/>
      <c r="DO160" s="331"/>
      <c r="DP160" s="331"/>
      <c r="DQ160" s="331"/>
      <c r="DR160" s="331"/>
      <c r="DS160" s="331"/>
      <c r="DT160" s="331"/>
      <c r="DU160" s="331"/>
      <c r="DV160" s="331"/>
      <c r="DW160" s="331"/>
      <c r="DX160" s="331"/>
      <c r="DY160" s="331"/>
    </row>
    <row r="161" spans="1:129" s="331" customFormat="1" ht="63.75" x14ac:dyDescent="0.25">
      <c r="A161" s="257">
        <v>312</v>
      </c>
      <c r="B161" s="376" t="s">
        <v>431</v>
      </c>
      <c r="C161" s="257">
        <v>2</v>
      </c>
      <c r="D161" s="376" t="s">
        <v>382</v>
      </c>
      <c r="E161" s="257">
        <v>2</v>
      </c>
      <c r="F161" s="376" t="s">
        <v>159</v>
      </c>
      <c r="G161" s="257">
        <v>17</v>
      </c>
      <c r="H161" s="376" t="s">
        <v>212</v>
      </c>
      <c r="I161" s="257">
        <v>1702</v>
      </c>
      <c r="J161" s="376" t="s">
        <v>432</v>
      </c>
      <c r="K161" s="257">
        <v>1702023</v>
      </c>
      <c r="L161" s="454" t="s">
        <v>173</v>
      </c>
      <c r="M161" s="292" t="s">
        <v>452</v>
      </c>
      <c r="N161" s="458" t="s">
        <v>453</v>
      </c>
      <c r="O161" s="465" t="s">
        <v>26</v>
      </c>
      <c r="P161" s="280">
        <v>1</v>
      </c>
      <c r="Q161" s="304">
        <v>0.7</v>
      </c>
      <c r="R161" s="380">
        <v>2020003630022</v>
      </c>
      <c r="S161" s="445" t="s">
        <v>454</v>
      </c>
      <c r="T161" s="381"/>
      <c r="U161" s="381"/>
      <c r="V161" s="381"/>
      <c r="W161" s="381"/>
      <c r="X161" s="381"/>
      <c r="Y161" s="381"/>
      <c r="Z161" s="381"/>
      <c r="AA161" s="381"/>
      <c r="AB161" s="381"/>
      <c r="AC161" s="381"/>
      <c r="AD161" s="381"/>
      <c r="AE161" s="381"/>
      <c r="AF161" s="381"/>
      <c r="AG161" s="381"/>
      <c r="AH161" s="381"/>
      <c r="AI161" s="381"/>
      <c r="AJ161" s="381"/>
      <c r="AK161" s="381"/>
      <c r="AL161" s="400">
        <f>56000000-17550000</f>
        <v>38450000</v>
      </c>
      <c r="AM161" s="400">
        <v>38450000</v>
      </c>
      <c r="AN161" s="400">
        <v>38450000</v>
      </c>
      <c r="AO161" s="381"/>
      <c r="AP161" s="381"/>
      <c r="AQ161" s="381"/>
      <c r="AR161" s="381"/>
      <c r="AS161" s="381"/>
      <c r="AT161" s="381"/>
      <c r="AU161" s="381">
        <f t="shared" si="8"/>
        <v>38450000</v>
      </c>
      <c r="AV161" s="381">
        <f t="shared" si="9"/>
        <v>38450000</v>
      </c>
      <c r="AW161" s="381">
        <f t="shared" si="10"/>
        <v>38450000</v>
      </c>
      <c r="AX161" s="461" t="s">
        <v>437</v>
      </c>
    </row>
    <row r="162" spans="1:129" s="331" customFormat="1" ht="63.75" x14ac:dyDescent="0.25">
      <c r="A162" s="257">
        <v>312</v>
      </c>
      <c r="B162" s="376" t="s">
        <v>431</v>
      </c>
      <c r="C162" s="257">
        <v>2</v>
      </c>
      <c r="D162" s="376" t="s">
        <v>382</v>
      </c>
      <c r="E162" s="257">
        <v>2</v>
      </c>
      <c r="F162" s="376" t="s">
        <v>455</v>
      </c>
      <c r="G162" s="257">
        <v>17</v>
      </c>
      <c r="H162" s="376" t="s">
        <v>212</v>
      </c>
      <c r="I162" s="257">
        <v>1702</v>
      </c>
      <c r="J162" s="376" t="s">
        <v>432</v>
      </c>
      <c r="K162" s="257">
        <v>1702024</v>
      </c>
      <c r="L162" s="454" t="s">
        <v>456</v>
      </c>
      <c r="M162" s="293" t="s">
        <v>457</v>
      </c>
      <c r="N162" s="453" t="s">
        <v>458</v>
      </c>
      <c r="O162" s="465" t="s">
        <v>26</v>
      </c>
      <c r="P162" s="280">
        <v>12</v>
      </c>
      <c r="Q162" s="304">
        <v>12</v>
      </c>
      <c r="R162" s="380">
        <v>2020003630022</v>
      </c>
      <c r="S162" s="418" t="s">
        <v>454</v>
      </c>
      <c r="T162" s="381"/>
      <c r="U162" s="381"/>
      <c r="V162" s="381"/>
      <c r="W162" s="381"/>
      <c r="X162" s="381"/>
      <c r="Y162" s="381"/>
      <c r="Z162" s="381"/>
      <c r="AA162" s="381"/>
      <c r="AB162" s="381"/>
      <c r="AC162" s="381"/>
      <c r="AD162" s="381"/>
      <c r="AE162" s="381"/>
      <c r="AF162" s="381"/>
      <c r="AG162" s="381"/>
      <c r="AH162" s="381"/>
      <c r="AI162" s="381"/>
      <c r="AJ162" s="381"/>
      <c r="AK162" s="381"/>
      <c r="AL162" s="400">
        <f>95000000-27950000</f>
        <v>67050000</v>
      </c>
      <c r="AM162" s="400">
        <v>67050000</v>
      </c>
      <c r="AN162" s="400">
        <v>67050000</v>
      </c>
      <c r="AO162" s="381"/>
      <c r="AP162" s="381"/>
      <c r="AQ162" s="381"/>
      <c r="AR162" s="381"/>
      <c r="AS162" s="381"/>
      <c r="AT162" s="381"/>
      <c r="AU162" s="381">
        <f t="shared" si="8"/>
        <v>67050000</v>
      </c>
      <c r="AV162" s="381">
        <f t="shared" si="9"/>
        <v>67050000</v>
      </c>
      <c r="AW162" s="381">
        <f t="shared" si="10"/>
        <v>67050000</v>
      </c>
      <c r="AX162" s="461" t="s">
        <v>437</v>
      </c>
    </row>
    <row r="163" spans="1:129" s="332" customFormat="1" ht="63.75" x14ac:dyDescent="0.25">
      <c r="A163" s="259">
        <v>312</v>
      </c>
      <c r="B163" s="325" t="s">
        <v>431</v>
      </c>
      <c r="C163" s="306"/>
      <c r="D163" s="463"/>
      <c r="E163" s="306">
        <v>2</v>
      </c>
      <c r="F163" s="463" t="s">
        <v>455</v>
      </c>
      <c r="G163" s="305">
        <v>17</v>
      </c>
      <c r="H163" s="385" t="s">
        <v>212</v>
      </c>
      <c r="I163" s="305">
        <v>1702</v>
      </c>
      <c r="J163" s="333" t="s">
        <v>432</v>
      </c>
      <c r="K163" s="259">
        <v>1702023</v>
      </c>
      <c r="L163" s="333" t="s">
        <v>173</v>
      </c>
      <c r="M163" s="259">
        <v>170202300</v>
      </c>
      <c r="N163" s="333" t="s">
        <v>174</v>
      </c>
      <c r="O163" s="305" t="s">
        <v>67</v>
      </c>
      <c r="P163" s="305">
        <v>1</v>
      </c>
      <c r="Q163" s="305">
        <v>0.7</v>
      </c>
      <c r="R163" s="281">
        <v>2024003630109</v>
      </c>
      <c r="S163" s="464" t="s">
        <v>459</v>
      </c>
      <c r="T163" s="328"/>
      <c r="U163" s="328"/>
      <c r="V163" s="328"/>
      <c r="W163" s="328"/>
      <c r="X163" s="328"/>
      <c r="Y163" s="328"/>
      <c r="Z163" s="328"/>
      <c r="AA163" s="328"/>
      <c r="AB163" s="328"/>
      <c r="AC163" s="328"/>
      <c r="AD163" s="328"/>
      <c r="AE163" s="328"/>
      <c r="AF163" s="328"/>
      <c r="AG163" s="328"/>
      <c r="AH163" s="328"/>
      <c r="AI163" s="328"/>
      <c r="AJ163" s="328"/>
      <c r="AK163" s="328"/>
      <c r="AL163" s="404">
        <v>8000000</v>
      </c>
      <c r="AM163" s="404">
        <v>6700000</v>
      </c>
      <c r="AN163" s="404">
        <v>6000000</v>
      </c>
      <c r="AO163" s="328"/>
      <c r="AP163" s="328"/>
      <c r="AQ163" s="328"/>
      <c r="AR163" s="328"/>
      <c r="AS163" s="328"/>
      <c r="AT163" s="328"/>
      <c r="AU163" s="328">
        <f t="shared" si="8"/>
        <v>8000000</v>
      </c>
      <c r="AV163" s="328">
        <f t="shared" si="9"/>
        <v>6700000</v>
      </c>
      <c r="AW163" s="328">
        <f t="shared" si="10"/>
        <v>6000000</v>
      </c>
      <c r="AX163" s="462" t="s">
        <v>437</v>
      </c>
      <c r="AY163" s="331"/>
      <c r="AZ163" s="331"/>
      <c r="BA163" s="331"/>
      <c r="BB163" s="331"/>
      <c r="BC163" s="331"/>
      <c r="BD163" s="331"/>
      <c r="BE163" s="331"/>
      <c r="BF163" s="331"/>
      <c r="BG163" s="331"/>
      <c r="BH163" s="331"/>
      <c r="BI163" s="331"/>
      <c r="BJ163" s="331"/>
      <c r="BK163" s="331"/>
      <c r="BL163" s="331"/>
      <c r="BM163" s="331"/>
      <c r="BN163" s="331"/>
      <c r="BO163" s="331"/>
      <c r="BP163" s="331"/>
      <c r="BQ163" s="331"/>
      <c r="BR163" s="331"/>
      <c r="BS163" s="331"/>
      <c r="BT163" s="331"/>
      <c r="BU163" s="331"/>
      <c r="BV163" s="331"/>
      <c r="BW163" s="331"/>
      <c r="BX163" s="331"/>
      <c r="BY163" s="331"/>
      <c r="BZ163" s="331"/>
      <c r="CA163" s="331"/>
      <c r="CB163" s="331"/>
      <c r="CC163" s="331"/>
      <c r="CD163" s="331"/>
      <c r="CE163" s="331"/>
      <c r="CF163" s="331"/>
      <c r="CG163" s="331"/>
      <c r="CH163" s="331"/>
      <c r="CI163" s="331"/>
      <c r="CJ163" s="331"/>
      <c r="CK163" s="331"/>
      <c r="CL163" s="331"/>
      <c r="CM163" s="331"/>
      <c r="CN163" s="331"/>
      <c r="CO163" s="331"/>
      <c r="CP163" s="331"/>
      <c r="CQ163" s="331"/>
      <c r="CR163" s="331"/>
      <c r="CS163" s="331"/>
      <c r="CT163" s="331"/>
      <c r="CU163" s="331"/>
      <c r="CV163" s="331"/>
      <c r="CW163" s="331"/>
      <c r="CX163" s="331"/>
      <c r="CY163" s="331"/>
      <c r="CZ163" s="331"/>
      <c r="DA163" s="331"/>
      <c r="DB163" s="331"/>
      <c r="DC163" s="331"/>
      <c r="DD163" s="331"/>
      <c r="DE163" s="331"/>
      <c r="DF163" s="331"/>
      <c r="DG163" s="331"/>
      <c r="DH163" s="331"/>
      <c r="DI163" s="331"/>
      <c r="DJ163" s="331"/>
      <c r="DK163" s="331"/>
      <c r="DL163" s="331"/>
      <c r="DM163" s="331"/>
      <c r="DN163" s="331"/>
      <c r="DO163" s="331"/>
      <c r="DP163" s="331"/>
      <c r="DQ163" s="331"/>
      <c r="DR163" s="331"/>
      <c r="DS163" s="331"/>
      <c r="DT163" s="331"/>
      <c r="DU163" s="331"/>
      <c r="DV163" s="331"/>
      <c r="DW163" s="331"/>
      <c r="DX163" s="331"/>
      <c r="DY163" s="331"/>
    </row>
    <row r="164" spans="1:129" s="332" customFormat="1" ht="63.75" x14ac:dyDescent="0.25">
      <c r="A164" s="259">
        <v>312</v>
      </c>
      <c r="B164" s="325" t="s">
        <v>431</v>
      </c>
      <c r="C164" s="306"/>
      <c r="D164" s="463"/>
      <c r="E164" s="306">
        <v>2</v>
      </c>
      <c r="F164" s="463" t="s">
        <v>455</v>
      </c>
      <c r="G164" s="305">
        <v>17</v>
      </c>
      <c r="H164" s="385" t="s">
        <v>212</v>
      </c>
      <c r="I164" s="305">
        <v>1702</v>
      </c>
      <c r="J164" s="333" t="s">
        <v>432</v>
      </c>
      <c r="K164" s="313">
        <v>1702041</v>
      </c>
      <c r="L164" s="333" t="s">
        <v>89</v>
      </c>
      <c r="M164" s="266">
        <v>170204100</v>
      </c>
      <c r="N164" s="466" t="s">
        <v>460</v>
      </c>
      <c r="O164" s="305" t="s">
        <v>26</v>
      </c>
      <c r="P164" s="305">
        <v>4</v>
      </c>
      <c r="Q164" s="305">
        <v>2</v>
      </c>
      <c r="R164" s="281">
        <v>2024003630109</v>
      </c>
      <c r="S164" s="464" t="s">
        <v>459</v>
      </c>
      <c r="T164" s="328"/>
      <c r="U164" s="328"/>
      <c r="V164" s="328"/>
      <c r="W164" s="328"/>
      <c r="X164" s="328"/>
      <c r="Y164" s="328"/>
      <c r="Z164" s="328"/>
      <c r="AA164" s="328"/>
      <c r="AB164" s="328"/>
      <c r="AC164" s="328"/>
      <c r="AD164" s="328"/>
      <c r="AE164" s="328"/>
      <c r="AF164" s="328"/>
      <c r="AG164" s="328"/>
      <c r="AH164" s="328"/>
      <c r="AI164" s="328"/>
      <c r="AJ164" s="328"/>
      <c r="AK164" s="328"/>
      <c r="AL164" s="404">
        <v>13550000</v>
      </c>
      <c r="AM164" s="404">
        <v>12618333</v>
      </c>
      <c r="AN164" s="404">
        <v>8200000</v>
      </c>
      <c r="AO164" s="328"/>
      <c r="AP164" s="328"/>
      <c r="AQ164" s="328"/>
      <c r="AR164" s="328"/>
      <c r="AS164" s="328"/>
      <c r="AT164" s="328"/>
      <c r="AU164" s="328">
        <f t="shared" si="8"/>
        <v>13550000</v>
      </c>
      <c r="AV164" s="328">
        <f t="shared" si="9"/>
        <v>12618333</v>
      </c>
      <c r="AW164" s="328">
        <f t="shared" si="10"/>
        <v>8200000</v>
      </c>
      <c r="AX164" s="462" t="s">
        <v>437</v>
      </c>
      <c r="AY164" s="331"/>
      <c r="AZ164" s="331"/>
      <c r="BA164" s="331"/>
      <c r="BB164" s="331"/>
      <c r="BC164" s="331"/>
      <c r="BD164" s="331"/>
      <c r="BE164" s="331"/>
      <c r="BF164" s="331"/>
      <c r="BG164" s="331"/>
      <c r="BH164" s="331"/>
      <c r="BI164" s="331"/>
      <c r="BJ164" s="331"/>
      <c r="BK164" s="331"/>
      <c r="BL164" s="331"/>
      <c r="BM164" s="331"/>
      <c r="BN164" s="331"/>
      <c r="BO164" s="331"/>
      <c r="BP164" s="331"/>
      <c r="BQ164" s="331"/>
      <c r="BR164" s="331"/>
      <c r="BS164" s="331"/>
      <c r="BT164" s="331"/>
      <c r="BU164" s="331"/>
      <c r="BV164" s="331"/>
      <c r="BW164" s="331"/>
      <c r="BX164" s="331"/>
      <c r="BY164" s="331"/>
      <c r="BZ164" s="331"/>
      <c r="CA164" s="331"/>
      <c r="CB164" s="331"/>
      <c r="CC164" s="331"/>
      <c r="CD164" s="331"/>
      <c r="CE164" s="331"/>
      <c r="CF164" s="331"/>
      <c r="CG164" s="331"/>
      <c r="CH164" s="331"/>
      <c r="CI164" s="331"/>
      <c r="CJ164" s="331"/>
      <c r="CK164" s="331"/>
      <c r="CL164" s="331"/>
      <c r="CM164" s="331"/>
      <c r="CN164" s="331"/>
      <c r="CO164" s="331"/>
      <c r="CP164" s="331"/>
      <c r="CQ164" s="331"/>
      <c r="CR164" s="331"/>
      <c r="CS164" s="331"/>
      <c r="CT164" s="331"/>
      <c r="CU164" s="331"/>
      <c r="CV164" s="331"/>
      <c r="CW164" s="331"/>
      <c r="CX164" s="331"/>
      <c r="CY164" s="331"/>
      <c r="CZ164" s="331"/>
      <c r="DA164" s="331"/>
      <c r="DB164" s="331"/>
      <c r="DC164" s="331"/>
      <c r="DD164" s="331"/>
      <c r="DE164" s="331"/>
      <c r="DF164" s="331"/>
      <c r="DG164" s="331"/>
      <c r="DH164" s="331"/>
      <c r="DI164" s="331"/>
      <c r="DJ164" s="331"/>
      <c r="DK164" s="331"/>
      <c r="DL164" s="331"/>
      <c r="DM164" s="331"/>
      <c r="DN164" s="331"/>
      <c r="DO164" s="331"/>
      <c r="DP164" s="331"/>
      <c r="DQ164" s="331"/>
      <c r="DR164" s="331"/>
      <c r="DS164" s="331"/>
      <c r="DT164" s="331"/>
      <c r="DU164" s="331"/>
      <c r="DV164" s="331"/>
      <c r="DW164" s="331"/>
      <c r="DX164" s="331"/>
      <c r="DY164" s="331"/>
    </row>
    <row r="165" spans="1:129" s="332" customFormat="1" ht="63.75" x14ac:dyDescent="0.25">
      <c r="A165" s="259">
        <v>312</v>
      </c>
      <c r="B165" s="325" t="s">
        <v>431</v>
      </c>
      <c r="C165" s="306"/>
      <c r="D165" s="463"/>
      <c r="E165" s="306">
        <v>2</v>
      </c>
      <c r="F165" s="463" t="s">
        <v>455</v>
      </c>
      <c r="G165" s="305">
        <v>17</v>
      </c>
      <c r="H165" s="385" t="s">
        <v>212</v>
      </c>
      <c r="I165" s="305">
        <v>1702</v>
      </c>
      <c r="J165" s="333" t="s">
        <v>432</v>
      </c>
      <c r="K165" s="259">
        <v>1702024</v>
      </c>
      <c r="L165" s="333" t="s">
        <v>461</v>
      </c>
      <c r="M165" s="266">
        <v>170202400</v>
      </c>
      <c r="N165" s="333" t="s">
        <v>458</v>
      </c>
      <c r="O165" s="305" t="s">
        <v>26</v>
      </c>
      <c r="P165" s="305">
        <v>12</v>
      </c>
      <c r="Q165" s="305">
        <v>12</v>
      </c>
      <c r="R165" s="281">
        <v>2024003630109</v>
      </c>
      <c r="S165" s="464" t="s">
        <v>459</v>
      </c>
      <c r="T165" s="328"/>
      <c r="U165" s="328"/>
      <c r="V165" s="328"/>
      <c r="W165" s="328"/>
      <c r="X165" s="328"/>
      <c r="Y165" s="328"/>
      <c r="Z165" s="328"/>
      <c r="AA165" s="328"/>
      <c r="AB165" s="328"/>
      <c r="AC165" s="328"/>
      <c r="AD165" s="328"/>
      <c r="AE165" s="328"/>
      <c r="AF165" s="328"/>
      <c r="AG165" s="328"/>
      <c r="AH165" s="328"/>
      <c r="AI165" s="328"/>
      <c r="AJ165" s="328"/>
      <c r="AK165" s="328"/>
      <c r="AL165" s="404">
        <v>23950000</v>
      </c>
      <c r="AM165" s="404">
        <v>21318333</v>
      </c>
      <c r="AN165" s="404">
        <v>12500000</v>
      </c>
      <c r="AO165" s="328"/>
      <c r="AP165" s="328"/>
      <c r="AQ165" s="328"/>
      <c r="AR165" s="328"/>
      <c r="AS165" s="328"/>
      <c r="AT165" s="328"/>
      <c r="AU165" s="328">
        <f t="shared" si="8"/>
        <v>23950000</v>
      </c>
      <c r="AV165" s="328">
        <f t="shared" si="9"/>
        <v>21318333</v>
      </c>
      <c r="AW165" s="328">
        <f t="shared" si="10"/>
        <v>12500000</v>
      </c>
      <c r="AX165" s="462" t="s">
        <v>437</v>
      </c>
      <c r="AY165" s="331"/>
      <c r="AZ165" s="331"/>
      <c r="BA165" s="331"/>
      <c r="BB165" s="331"/>
      <c r="BC165" s="331"/>
      <c r="BD165" s="331"/>
      <c r="BE165" s="331"/>
      <c r="BF165" s="331"/>
      <c r="BG165" s="331"/>
      <c r="BH165" s="331"/>
      <c r="BI165" s="331"/>
      <c r="BJ165" s="331"/>
      <c r="BK165" s="331"/>
      <c r="BL165" s="331"/>
      <c r="BM165" s="331"/>
      <c r="BN165" s="331"/>
      <c r="BO165" s="331"/>
      <c r="BP165" s="331"/>
      <c r="BQ165" s="331"/>
      <c r="BR165" s="331"/>
      <c r="BS165" s="331"/>
      <c r="BT165" s="331"/>
      <c r="BU165" s="331"/>
      <c r="BV165" s="331"/>
      <c r="BW165" s="331"/>
      <c r="BX165" s="331"/>
      <c r="BY165" s="331"/>
      <c r="BZ165" s="331"/>
      <c r="CA165" s="331"/>
      <c r="CB165" s="331"/>
      <c r="CC165" s="331"/>
      <c r="CD165" s="331"/>
      <c r="CE165" s="331"/>
      <c r="CF165" s="331"/>
      <c r="CG165" s="331"/>
      <c r="CH165" s="331"/>
      <c r="CI165" s="331"/>
      <c r="CJ165" s="331"/>
      <c r="CK165" s="331"/>
      <c r="CL165" s="331"/>
      <c r="CM165" s="331"/>
      <c r="CN165" s="331"/>
      <c r="CO165" s="331"/>
      <c r="CP165" s="331"/>
      <c r="CQ165" s="331"/>
      <c r="CR165" s="331"/>
      <c r="CS165" s="331"/>
      <c r="CT165" s="331"/>
      <c r="CU165" s="331"/>
      <c r="CV165" s="331"/>
      <c r="CW165" s="331"/>
      <c r="CX165" s="331"/>
      <c r="CY165" s="331"/>
      <c r="CZ165" s="331"/>
      <c r="DA165" s="331"/>
      <c r="DB165" s="331"/>
      <c r="DC165" s="331"/>
      <c r="DD165" s="331"/>
      <c r="DE165" s="331"/>
      <c r="DF165" s="331"/>
      <c r="DG165" s="331"/>
      <c r="DH165" s="331"/>
      <c r="DI165" s="331"/>
      <c r="DJ165" s="331"/>
      <c r="DK165" s="331"/>
      <c r="DL165" s="331"/>
      <c r="DM165" s="331"/>
      <c r="DN165" s="331"/>
      <c r="DO165" s="331"/>
      <c r="DP165" s="331"/>
      <c r="DQ165" s="331"/>
      <c r="DR165" s="331"/>
      <c r="DS165" s="331"/>
      <c r="DT165" s="331"/>
      <c r="DU165" s="331"/>
      <c r="DV165" s="331"/>
      <c r="DW165" s="331"/>
      <c r="DX165" s="331"/>
      <c r="DY165" s="331"/>
    </row>
    <row r="166" spans="1:129" s="331" customFormat="1" ht="63.75" x14ac:dyDescent="0.25">
      <c r="A166" s="257">
        <v>312</v>
      </c>
      <c r="B166" s="376" t="s">
        <v>431</v>
      </c>
      <c r="C166" s="257">
        <v>2</v>
      </c>
      <c r="D166" s="376" t="s">
        <v>382</v>
      </c>
      <c r="E166" s="257">
        <v>2</v>
      </c>
      <c r="F166" s="376" t="s">
        <v>455</v>
      </c>
      <c r="G166" s="257">
        <v>17</v>
      </c>
      <c r="H166" s="376" t="s">
        <v>212</v>
      </c>
      <c r="I166" s="257">
        <v>1702</v>
      </c>
      <c r="J166" s="376" t="s">
        <v>432</v>
      </c>
      <c r="K166" s="257">
        <v>1702025</v>
      </c>
      <c r="L166" s="376" t="s">
        <v>462</v>
      </c>
      <c r="M166" s="263" t="s">
        <v>463</v>
      </c>
      <c r="N166" s="388" t="s">
        <v>464</v>
      </c>
      <c r="O166" s="382" t="s">
        <v>67</v>
      </c>
      <c r="P166" s="280">
        <v>25</v>
      </c>
      <c r="Q166" s="280">
        <v>2</v>
      </c>
      <c r="R166" s="380">
        <v>2020003630081</v>
      </c>
      <c r="S166" s="445" t="s">
        <v>465</v>
      </c>
      <c r="T166" s="381"/>
      <c r="U166" s="381"/>
      <c r="V166" s="381"/>
      <c r="W166" s="381"/>
      <c r="X166" s="381"/>
      <c r="Y166" s="381"/>
      <c r="Z166" s="381"/>
      <c r="AA166" s="381"/>
      <c r="AB166" s="381"/>
      <c r="AC166" s="381"/>
      <c r="AD166" s="381"/>
      <c r="AE166" s="381"/>
      <c r="AF166" s="381"/>
      <c r="AG166" s="381"/>
      <c r="AH166" s="381"/>
      <c r="AI166" s="381"/>
      <c r="AJ166" s="381"/>
      <c r="AK166" s="381"/>
      <c r="AL166" s="400">
        <f>67000000-33366668</f>
        <v>33633332</v>
      </c>
      <c r="AM166" s="400">
        <v>33633332</v>
      </c>
      <c r="AN166" s="400">
        <v>33633332</v>
      </c>
      <c r="AO166" s="381"/>
      <c r="AP166" s="381"/>
      <c r="AQ166" s="381"/>
      <c r="AR166" s="381"/>
      <c r="AS166" s="381"/>
      <c r="AT166" s="381"/>
      <c r="AU166" s="381">
        <f t="shared" si="8"/>
        <v>33633332</v>
      </c>
      <c r="AV166" s="381">
        <f t="shared" si="9"/>
        <v>33633332</v>
      </c>
      <c r="AW166" s="381">
        <f t="shared" si="10"/>
        <v>33633332</v>
      </c>
      <c r="AX166" s="461" t="s">
        <v>437</v>
      </c>
    </row>
    <row r="167" spans="1:129" s="332" customFormat="1" ht="63.75" x14ac:dyDescent="0.25">
      <c r="A167" s="259">
        <v>312</v>
      </c>
      <c r="B167" s="325" t="s">
        <v>431</v>
      </c>
      <c r="C167" s="306"/>
      <c r="D167" s="463"/>
      <c r="E167" s="306">
        <v>2</v>
      </c>
      <c r="F167" s="463" t="s">
        <v>455</v>
      </c>
      <c r="G167" s="305">
        <v>17</v>
      </c>
      <c r="H167" s="385" t="s">
        <v>212</v>
      </c>
      <c r="I167" s="305">
        <v>1702</v>
      </c>
      <c r="J167" s="333" t="s">
        <v>432</v>
      </c>
      <c r="K167" s="281">
        <v>1702025</v>
      </c>
      <c r="L167" s="333" t="s">
        <v>462</v>
      </c>
      <c r="M167" s="266">
        <v>170202500</v>
      </c>
      <c r="N167" s="333" t="s">
        <v>464</v>
      </c>
      <c r="O167" s="305" t="s">
        <v>67</v>
      </c>
      <c r="P167" s="305">
        <v>8</v>
      </c>
      <c r="Q167" s="305">
        <v>2</v>
      </c>
      <c r="R167" s="281">
        <v>2024003630047</v>
      </c>
      <c r="S167" s="435" t="s">
        <v>466</v>
      </c>
      <c r="T167" s="328"/>
      <c r="U167" s="328"/>
      <c r="V167" s="328"/>
      <c r="W167" s="328"/>
      <c r="X167" s="328"/>
      <c r="Y167" s="328"/>
      <c r="Z167" s="328"/>
      <c r="AA167" s="328"/>
      <c r="AB167" s="328"/>
      <c r="AC167" s="328"/>
      <c r="AD167" s="328"/>
      <c r="AE167" s="328"/>
      <c r="AF167" s="328"/>
      <c r="AG167" s="328"/>
      <c r="AH167" s="328"/>
      <c r="AI167" s="328"/>
      <c r="AJ167" s="328"/>
      <c r="AK167" s="328"/>
      <c r="AL167" s="404">
        <v>33366668</v>
      </c>
      <c r="AM167" s="404">
        <v>25796667</v>
      </c>
      <c r="AN167" s="404">
        <v>16000000</v>
      </c>
      <c r="AO167" s="328"/>
      <c r="AP167" s="328"/>
      <c r="AQ167" s="328"/>
      <c r="AR167" s="328"/>
      <c r="AS167" s="328"/>
      <c r="AT167" s="328"/>
      <c r="AU167" s="328">
        <f t="shared" si="8"/>
        <v>33366668</v>
      </c>
      <c r="AV167" s="328">
        <f t="shared" si="9"/>
        <v>25796667</v>
      </c>
      <c r="AW167" s="328">
        <f t="shared" si="10"/>
        <v>16000000</v>
      </c>
      <c r="AX167" s="462" t="s">
        <v>437</v>
      </c>
      <c r="AY167" s="331"/>
      <c r="AZ167" s="331"/>
      <c r="BA167" s="331"/>
      <c r="BB167" s="331"/>
      <c r="BC167" s="331"/>
      <c r="BD167" s="331"/>
      <c r="BE167" s="331"/>
      <c r="BF167" s="331"/>
      <c r="BG167" s="331"/>
      <c r="BH167" s="331"/>
      <c r="BI167" s="331"/>
      <c r="BJ167" s="331"/>
      <c r="BK167" s="331"/>
      <c r="BL167" s="331"/>
      <c r="BM167" s="331"/>
      <c r="BN167" s="331"/>
      <c r="BO167" s="331"/>
      <c r="BP167" s="331"/>
      <c r="BQ167" s="331"/>
      <c r="BR167" s="331"/>
      <c r="BS167" s="331"/>
      <c r="BT167" s="331"/>
      <c r="BU167" s="331"/>
      <c r="BV167" s="331"/>
      <c r="BW167" s="331"/>
      <c r="BX167" s="331"/>
      <c r="BY167" s="331"/>
      <c r="BZ167" s="331"/>
      <c r="CA167" s="331"/>
      <c r="CB167" s="331"/>
      <c r="CC167" s="331"/>
      <c r="CD167" s="331"/>
      <c r="CE167" s="331"/>
      <c r="CF167" s="331"/>
      <c r="CG167" s="331"/>
      <c r="CH167" s="331"/>
      <c r="CI167" s="331"/>
      <c r="CJ167" s="331"/>
      <c r="CK167" s="331"/>
      <c r="CL167" s="331"/>
      <c r="CM167" s="331"/>
      <c r="CN167" s="331"/>
      <c r="CO167" s="331"/>
      <c r="CP167" s="331"/>
      <c r="CQ167" s="331"/>
      <c r="CR167" s="331"/>
      <c r="CS167" s="331"/>
      <c r="CT167" s="331"/>
      <c r="CU167" s="331"/>
      <c r="CV167" s="331"/>
      <c r="CW167" s="331"/>
      <c r="CX167" s="331"/>
      <c r="CY167" s="331"/>
      <c r="CZ167" s="331"/>
      <c r="DA167" s="331"/>
      <c r="DB167" s="331"/>
      <c r="DC167" s="331"/>
      <c r="DD167" s="331"/>
      <c r="DE167" s="331"/>
      <c r="DF167" s="331"/>
      <c r="DG167" s="331"/>
      <c r="DH167" s="331"/>
      <c r="DI167" s="331"/>
      <c r="DJ167" s="331"/>
      <c r="DK167" s="331"/>
      <c r="DL167" s="331"/>
      <c r="DM167" s="331"/>
      <c r="DN167" s="331"/>
      <c r="DO167" s="331"/>
      <c r="DP167" s="331"/>
      <c r="DQ167" s="331"/>
      <c r="DR167" s="331"/>
      <c r="DS167" s="331"/>
      <c r="DT167" s="331"/>
      <c r="DU167" s="331"/>
      <c r="DV167" s="331"/>
      <c r="DW167" s="331"/>
      <c r="DX167" s="331"/>
      <c r="DY167" s="331"/>
    </row>
    <row r="168" spans="1:129" s="331" customFormat="1" ht="89.25" x14ac:dyDescent="0.25">
      <c r="A168" s="257">
        <v>312</v>
      </c>
      <c r="B168" s="376" t="s">
        <v>431</v>
      </c>
      <c r="C168" s="257">
        <v>2</v>
      </c>
      <c r="D168" s="376" t="s">
        <v>382</v>
      </c>
      <c r="E168" s="257">
        <v>2</v>
      </c>
      <c r="F168" s="376" t="s">
        <v>455</v>
      </c>
      <c r="G168" s="257">
        <v>17</v>
      </c>
      <c r="H168" s="376" t="s">
        <v>212</v>
      </c>
      <c r="I168" s="257">
        <v>1703</v>
      </c>
      <c r="J168" s="376" t="s">
        <v>467</v>
      </c>
      <c r="K168" s="257">
        <v>1703013</v>
      </c>
      <c r="L168" s="376" t="s">
        <v>468</v>
      </c>
      <c r="M168" s="263" t="s">
        <v>469</v>
      </c>
      <c r="N168" s="388" t="s">
        <v>470</v>
      </c>
      <c r="O168" s="382" t="s">
        <v>67</v>
      </c>
      <c r="P168" s="280">
        <v>55</v>
      </c>
      <c r="Q168" s="280">
        <v>0</v>
      </c>
      <c r="R168" s="380">
        <v>2020003630082</v>
      </c>
      <c r="S168" s="418" t="s">
        <v>471</v>
      </c>
      <c r="T168" s="381"/>
      <c r="U168" s="381"/>
      <c r="V168" s="381"/>
      <c r="W168" s="381"/>
      <c r="X168" s="381"/>
      <c r="Y168" s="381"/>
      <c r="Z168" s="381"/>
      <c r="AA168" s="381"/>
      <c r="AB168" s="381"/>
      <c r="AC168" s="381"/>
      <c r="AD168" s="381"/>
      <c r="AE168" s="381"/>
      <c r="AF168" s="381"/>
      <c r="AG168" s="381"/>
      <c r="AH168" s="381"/>
      <c r="AI168" s="381"/>
      <c r="AJ168" s="381"/>
      <c r="AK168" s="381"/>
      <c r="AL168" s="400">
        <f>65712654-37612654</f>
        <v>28100000</v>
      </c>
      <c r="AM168" s="400">
        <v>28100000</v>
      </c>
      <c r="AN168" s="400">
        <v>28100000</v>
      </c>
      <c r="AO168" s="381">
        <f>200000000-200000000</f>
        <v>0</v>
      </c>
      <c r="AP168" s="381"/>
      <c r="AQ168" s="381"/>
      <c r="AR168" s="381"/>
      <c r="AS168" s="381"/>
      <c r="AT168" s="381"/>
      <c r="AU168" s="381">
        <f t="shared" si="8"/>
        <v>28100000</v>
      </c>
      <c r="AV168" s="381">
        <f t="shared" si="9"/>
        <v>28100000</v>
      </c>
      <c r="AW168" s="381">
        <f t="shared" si="10"/>
        <v>28100000</v>
      </c>
      <c r="AX168" s="461" t="s">
        <v>437</v>
      </c>
    </row>
    <row r="169" spans="1:129" s="332" customFormat="1" ht="89.25" x14ac:dyDescent="0.25">
      <c r="A169" s="259">
        <v>312</v>
      </c>
      <c r="B169" s="325" t="s">
        <v>431</v>
      </c>
      <c r="C169" s="306"/>
      <c r="D169" s="463"/>
      <c r="E169" s="306">
        <v>2</v>
      </c>
      <c r="F169" s="463" t="s">
        <v>455</v>
      </c>
      <c r="G169" s="305">
        <v>17</v>
      </c>
      <c r="H169" s="385" t="s">
        <v>212</v>
      </c>
      <c r="I169" s="305">
        <v>1703</v>
      </c>
      <c r="J169" s="333" t="s">
        <v>472</v>
      </c>
      <c r="K169" s="313">
        <v>1703013</v>
      </c>
      <c r="L169" s="333" t="s">
        <v>468</v>
      </c>
      <c r="M169" s="266">
        <v>170301300</v>
      </c>
      <c r="N169" s="333" t="s">
        <v>470</v>
      </c>
      <c r="O169" s="305" t="s">
        <v>67</v>
      </c>
      <c r="P169" s="305">
        <v>100</v>
      </c>
      <c r="Q169" s="305">
        <v>0</v>
      </c>
      <c r="R169" s="281">
        <v>2024003630096</v>
      </c>
      <c r="S169" s="464" t="s">
        <v>473</v>
      </c>
      <c r="T169" s="328"/>
      <c r="U169" s="328"/>
      <c r="V169" s="328"/>
      <c r="W169" s="328"/>
      <c r="X169" s="328"/>
      <c r="Y169" s="328"/>
      <c r="Z169" s="328"/>
      <c r="AA169" s="328"/>
      <c r="AB169" s="328"/>
      <c r="AC169" s="328"/>
      <c r="AD169" s="328"/>
      <c r="AE169" s="328"/>
      <c r="AF169" s="328"/>
      <c r="AG169" s="328"/>
      <c r="AH169" s="328"/>
      <c r="AI169" s="328"/>
      <c r="AJ169" s="328"/>
      <c r="AK169" s="328"/>
      <c r="AL169" s="328">
        <f>237612654-200000000</f>
        <v>37612654</v>
      </c>
      <c r="AM169" s="328">
        <v>30000000</v>
      </c>
      <c r="AN169" s="328">
        <v>13700000</v>
      </c>
      <c r="AO169" s="328">
        <v>200000000</v>
      </c>
      <c r="AP169" s="328"/>
      <c r="AQ169" s="328"/>
      <c r="AR169" s="328"/>
      <c r="AS169" s="328"/>
      <c r="AT169" s="328"/>
      <c r="AU169" s="328">
        <f t="shared" si="8"/>
        <v>237612654</v>
      </c>
      <c r="AV169" s="328">
        <f t="shared" si="9"/>
        <v>30000000</v>
      </c>
      <c r="AW169" s="328">
        <f t="shared" si="10"/>
        <v>13700000</v>
      </c>
      <c r="AX169" s="462" t="s">
        <v>437</v>
      </c>
      <c r="AY169" s="331"/>
      <c r="AZ169" s="331"/>
      <c r="BA169" s="331"/>
      <c r="BB169" s="331"/>
      <c r="BC169" s="331"/>
      <c r="BD169" s="331"/>
      <c r="BE169" s="331"/>
      <c r="BF169" s="331"/>
      <c r="BG169" s="331"/>
      <c r="BH169" s="331"/>
      <c r="BI169" s="331"/>
      <c r="BJ169" s="331"/>
      <c r="BK169" s="331"/>
      <c r="BL169" s="331"/>
      <c r="BM169" s="331"/>
      <c r="BN169" s="331"/>
      <c r="BO169" s="331"/>
      <c r="BP169" s="331"/>
      <c r="BQ169" s="331"/>
      <c r="BR169" s="331"/>
      <c r="BS169" s="331"/>
      <c r="BT169" s="331"/>
      <c r="BU169" s="331"/>
      <c r="BV169" s="331"/>
      <c r="BW169" s="331"/>
      <c r="BX169" s="331"/>
      <c r="BY169" s="331"/>
      <c r="BZ169" s="331"/>
      <c r="CA169" s="331"/>
      <c r="CB169" s="331"/>
      <c r="CC169" s="331"/>
      <c r="CD169" s="331"/>
      <c r="CE169" s="331"/>
      <c r="CF169" s="331"/>
      <c r="CG169" s="331"/>
      <c r="CH169" s="331"/>
      <c r="CI169" s="331"/>
      <c r="CJ169" s="331"/>
      <c r="CK169" s="331"/>
      <c r="CL169" s="331"/>
      <c r="CM169" s="331"/>
      <c r="CN169" s="331"/>
      <c r="CO169" s="331"/>
      <c r="CP169" s="331"/>
      <c r="CQ169" s="331"/>
      <c r="CR169" s="331"/>
      <c r="CS169" s="331"/>
      <c r="CT169" s="331"/>
      <c r="CU169" s="331"/>
      <c r="CV169" s="331"/>
      <c r="CW169" s="331"/>
      <c r="CX169" s="331"/>
      <c r="CY169" s="331"/>
      <c r="CZ169" s="331"/>
      <c r="DA169" s="331"/>
      <c r="DB169" s="331"/>
      <c r="DC169" s="331"/>
      <c r="DD169" s="331"/>
      <c r="DE169" s="331"/>
      <c r="DF169" s="331"/>
      <c r="DG169" s="331"/>
      <c r="DH169" s="331"/>
      <c r="DI169" s="331"/>
      <c r="DJ169" s="331"/>
      <c r="DK169" s="331"/>
      <c r="DL169" s="331"/>
      <c r="DM169" s="331"/>
      <c r="DN169" s="331"/>
      <c r="DO169" s="331"/>
      <c r="DP169" s="331"/>
      <c r="DQ169" s="331"/>
      <c r="DR169" s="331"/>
      <c r="DS169" s="331"/>
      <c r="DT169" s="331"/>
      <c r="DU169" s="331"/>
      <c r="DV169" s="331"/>
      <c r="DW169" s="331"/>
      <c r="DX169" s="331"/>
      <c r="DY169" s="331"/>
    </row>
    <row r="170" spans="1:129" s="332" customFormat="1" ht="63.75" x14ac:dyDescent="0.25">
      <c r="A170" s="259">
        <v>312</v>
      </c>
      <c r="B170" s="325" t="s">
        <v>431</v>
      </c>
      <c r="C170" s="306"/>
      <c r="D170" s="463"/>
      <c r="E170" s="306">
        <v>2</v>
      </c>
      <c r="F170" s="463" t="s">
        <v>455</v>
      </c>
      <c r="G170" s="305">
        <v>17</v>
      </c>
      <c r="H170" s="385" t="s">
        <v>476</v>
      </c>
      <c r="I170" s="305">
        <v>1706</v>
      </c>
      <c r="J170" s="333" t="s">
        <v>477</v>
      </c>
      <c r="K170" s="259">
        <v>1706004</v>
      </c>
      <c r="L170" s="333" t="s">
        <v>478</v>
      </c>
      <c r="M170" s="266">
        <v>170600400</v>
      </c>
      <c r="N170" s="333" t="s">
        <v>475</v>
      </c>
      <c r="O170" s="305" t="s">
        <v>26</v>
      </c>
      <c r="P170" s="305">
        <v>10</v>
      </c>
      <c r="Q170" s="305">
        <v>0</v>
      </c>
      <c r="R170" s="281">
        <v>2024003630059</v>
      </c>
      <c r="S170" s="464" t="s">
        <v>479</v>
      </c>
      <c r="T170" s="328"/>
      <c r="U170" s="328"/>
      <c r="V170" s="328"/>
      <c r="W170" s="328"/>
      <c r="X170" s="328"/>
      <c r="Y170" s="328"/>
      <c r="Z170" s="328"/>
      <c r="AA170" s="328"/>
      <c r="AB170" s="328"/>
      <c r="AC170" s="328"/>
      <c r="AD170" s="328"/>
      <c r="AE170" s="328"/>
      <c r="AF170" s="328"/>
      <c r="AG170" s="328"/>
      <c r="AH170" s="328"/>
      <c r="AI170" s="328"/>
      <c r="AJ170" s="328"/>
      <c r="AK170" s="328"/>
      <c r="AL170" s="328">
        <v>50000000</v>
      </c>
      <c r="AM170" s="328">
        <v>30000000</v>
      </c>
      <c r="AN170" s="328">
        <v>12907000</v>
      </c>
      <c r="AO170" s="328"/>
      <c r="AP170" s="328"/>
      <c r="AQ170" s="328"/>
      <c r="AR170" s="328"/>
      <c r="AS170" s="328"/>
      <c r="AT170" s="328"/>
      <c r="AU170" s="328">
        <f t="shared" si="8"/>
        <v>50000000</v>
      </c>
      <c r="AV170" s="328">
        <f t="shared" si="9"/>
        <v>30000000</v>
      </c>
      <c r="AW170" s="328">
        <f t="shared" si="10"/>
        <v>12907000</v>
      </c>
      <c r="AX170" s="462" t="s">
        <v>437</v>
      </c>
      <c r="AY170" s="331"/>
      <c r="AZ170" s="331"/>
      <c r="BA170" s="331"/>
      <c r="BB170" s="331"/>
      <c r="BC170" s="331"/>
      <c r="BD170" s="331"/>
      <c r="BE170" s="331"/>
      <c r="BF170" s="331"/>
      <c r="BG170" s="331"/>
      <c r="BH170" s="331"/>
      <c r="BI170" s="331"/>
      <c r="BJ170" s="331"/>
      <c r="BK170" s="331"/>
      <c r="BL170" s="331"/>
      <c r="BM170" s="331"/>
      <c r="BN170" s="331"/>
      <c r="BO170" s="331"/>
      <c r="BP170" s="331"/>
      <c r="BQ170" s="331"/>
      <c r="BR170" s="331"/>
      <c r="BS170" s="331"/>
      <c r="BT170" s="331"/>
      <c r="BU170" s="331"/>
      <c r="BV170" s="331"/>
      <c r="BW170" s="331"/>
      <c r="BX170" s="331"/>
      <c r="BY170" s="331"/>
      <c r="BZ170" s="331"/>
      <c r="CA170" s="331"/>
      <c r="CB170" s="331"/>
      <c r="CC170" s="331"/>
      <c r="CD170" s="331"/>
      <c r="CE170" s="331"/>
      <c r="CF170" s="331"/>
      <c r="CG170" s="331"/>
      <c r="CH170" s="331"/>
      <c r="CI170" s="331"/>
      <c r="CJ170" s="331"/>
      <c r="CK170" s="331"/>
      <c r="CL170" s="331"/>
      <c r="CM170" s="331"/>
      <c r="CN170" s="331"/>
      <c r="CO170" s="331"/>
      <c r="CP170" s="331"/>
      <c r="CQ170" s="331"/>
      <c r="CR170" s="331"/>
      <c r="CS170" s="331"/>
      <c r="CT170" s="331"/>
      <c r="CU170" s="331"/>
      <c r="CV170" s="331"/>
      <c r="CW170" s="331"/>
      <c r="CX170" s="331"/>
      <c r="CY170" s="331"/>
      <c r="CZ170" s="331"/>
      <c r="DA170" s="331"/>
      <c r="DB170" s="331"/>
      <c r="DC170" s="331"/>
      <c r="DD170" s="331"/>
      <c r="DE170" s="331"/>
      <c r="DF170" s="331"/>
      <c r="DG170" s="331"/>
      <c r="DH170" s="331"/>
      <c r="DI170" s="331"/>
      <c r="DJ170" s="331"/>
      <c r="DK170" s="331"/>
      <c r="DL170" s="331"/>
      <c r="DM170" s="331"/>
      <c r="DN170" s="331"/>
      <c r="DO170" s="331"/>
      <c r="DP170" s="331"/>
      <c r="DQ170" s="331"/>
      <c r="DR170" s="331"/>
      <c r="DS170" s="331"/>
      <c r="DT170" s="331"/>
      <c r="DU170" s="331"/>
      <c r="DV170" s="331"/>
      <c r="DW170" s="331"/>
      <c r="DX170" s="331"/>
      <c r="DY170" s="331"/>
    </row>
    <row r="171" spans="1:129" s="331" customFormat="1" ht="63.75" x14ac:dyDescent="0.25">
      <c r="A171" s="257">
        <v>312</v>
      </c>
      <c r="B171" s="376" t="s">
        <v>431</v>
      </c>
      <c r="C171" s="257">
        <v>2</v>
      </c>
      <c r="D171" s="376" t="s">
        <v>382</v>
      </c>
      <c r="E171" s="257">
        <v>2</v>
      </c>
      <c r="F171" s="376" t="s">
        <v>455</v>
      </c>
      <c r="G171" s="257">
        <v>17</v>
      </c>
      <c r="H171" s="376" t="s">
        <v>212</v>
      </c>
      <c r="I171" s="257">
        <v>1707</v>
      </c>
      <c r="J171" s="376" t="s">
        <v>480</v>
      </c>
      <c r="K171" s="257">
        <v>1707069</v>
      </c>
      <c r="L171" s="376" t="s">
        <v>481</v>
      </c>
      <c r="M171" s="257" t="s">
        <v>482</v>
      </c>
      <c r="N171" s="388" t="s">
        <v>483</v>
      </c>
      <c r="O171" s="382" t="s">
        <v>67</v>
      </c>
      <c r="P171" s="280">
        <v>5</v>
      </c>
      <c r="Q171" s="280">
        <v>6</v>
      </c>
      <c r="R171" s="380">
        <v>2020003630084</v>
      </c>
      <c r="S171" s="418" t="s">
        <v>484</v>
      </c>
      <c r="T171" s="381"/>
      <c r="U171" s="381"/>
      <c r="V171" s="381"/>
      <c r="W171" s="381"/>
      <c r="X171" s="381"/>
      <c r="Y171" s="381"/>
      <c r="Z171" s="381"/>
      <c r="AA171" s="381"/>
      <c r="AB171" s="381"/>
      <c r="AC171" s="381"/>
      <c r="AD171" s="381"/>
      <c r="AE171" s="381"/>
      <c r="AF171" s="381"/>
      <c r="AG171" s="381"/>
      <c r="AH171" s="381"/>
      <c r="AI171" s="381"/>
      <c r="AJ171" s="381"/>
      <c r="AK171" s="381"/>
      <c r="AL171" s="400">
        <f>143000000-773334</f>
        <v>142226666</v>
      </c>
      <c r="AM171" s="400">
        <v>142226666</v>
      </c>
      <c r="AN171" s="400">
        <v>142226666</v>
      </c>
      <c r="AO171" s="381"/>
      <c r="AP171" s="381"/>
      <c r="AQ171" s="381"/>
      <c r="AR171" s="381"/>
      <c r="AS171" s="381"/>
      <c r="AT171" s="381"/>
      <c r="AU171" s="381">
        <f t="shared" si="8"/>
        <v>142226666</v>
      </c>
      <c r="AV171" s="381">
        <f t="shared" si="9"/>
        <v>142226666</v>
      </c>
      <c r="AW171" s="381">
        <f t="shared" si="10"/>
        <v>142226666</v>
      </c>
      <c r="AX171" s="461" t="s">
        <v>437</v>
      </c>
    </row>
    <row r="172" spans="1:129" s="332" customFormat="1" ht="63.75" x14ac:dyDescent="0.25">
      <c r="A172" s="259">
        <v>312</v>
      </c>
      <c r="B172" s="325" t="s">
        <v>431</v>
      </c>
      <c r="C172" s="306"/>
      <c r="D172" s="463"/>
      <c r="E172" s="306">
        <v>2</v>
      </c>
      <c r="F172" s="463" t="s">
        <v>455</v>
      </c>
      <c r="G172" s="305">
        <v>17</v>
      </c>
      <c r="H172" s="385" t="s">
        <v>212</v>
      </c>
      <c r="I172" s="305">
        <v>1707</v>
      </c>
      <c r="J172" s="333" t="s">
        <v>485</v>
      </c>
      <c r="K172" s="281">
        <v>1707069</v>
      </c>
      <c r="L172" s="333" t="s">
        <v>481</v>
      </c>
      <c r="M172" s="267">
        <v>170706900</v>
      </c>
      <c r="N172" s="333" t="s">
        <v>483</v>
      </c>
      <c r="O172" s="305" t="s">
        <v>67</v>
      </c>
      <c r="P172" s="305">
        <v>10</v>
      </c>
      <c r="Q172" s="305">
        <v>0</v>
      </c>
      <c r="R172" s="281">
        <v>2024003630093</v>
      </c>
      <c r="S172" s="464" t="s">
        <v>486</v>
      </c>
      <c r="T172" s="328"/>
      <c r="U172" s="328"/>
      <c r="V172" s="328"/>
      <c r="W172" s="328"/>
      <c r="X172" s="328"/>
      <c r="Y172" s="328"/>
      <c r="Z172" s="328"/>
      <c r="AA172" s="328"/>
      <c r="AB172" s="328"/>
      <c r="AC172" s="328"/>
      <c r="AD172" s="328"/>
      <c r="AE172" s="328"/>
      <c r="AF172" s="328"/>
      <c r="AG172" s="328"/>
      <c r="AH172" s="328"/>
      <c r="AI172" s="328"/>
      <c r="AJ172" s="328"/>
      <c r="AK172" s="328"/>
      <c r="AL172" s="404">
        <v>773334</v>
      </c>
      <c r="AM172" s="404"/>
      <c r="AN172" s="404"/>
      <c r="AO172" s="328"/>
      <c r="AP172" s="328"/>
      <c r="AQ172" s="328"/>
      <c r="AR172" s="328"/>
      <c r="AS172" s="328"/>
      <c r="AT172" s="328"/>
      <c r="AU172" s="328">
        <f t="shared" si="8"/>
        <v>773334</v>
      </c>
      <c r="AV172" s="328">
        <f t="shared" si="9"/>
        <v>0</v>
      </c>
      <c r="AW172" s="328">
        <f t="shared" si="10"/>
        <v>0</v>
      </c>
      <c r="AX172" s="462" t="s">
        <v>437</v>
      </c>
      <c r="AY172" s="331"/>
      <c r="AZ172" s="331"/>
      <c r="BA172" s="331"/>
      <c r="BB172" s="331"/>
      <c r="BC172" s="331"/>
      <c r="BD172" s="331"/>
      <c r="BE172" s="331"/>
      <c r="BF172" s="331"/>
      <c r="BG172" s="331"/>
      <c r="BH172" s="331"/>
      <c r="BI172" s="331"/>
      <c r="BJ172" s="331"/>
      <c r="BK172" s="331"/>
      <c r="BL172" s="331"/>
      <c r="BM172" s="331"/>
      <c r="BN172" s="331"/>
      <c r="BO172" s="331"/>
      <c r="BP172" s="331"/>
      <c r="BQ172" s="331"/>
      <c r="BR172" s="331"/>
      <c r="BS172" s="331"/>
      <c r="BT172" s="331"/>
      <c r="BU172" s="331"/>
      <c r="BV172" s="331"/>
      <c r="BW172" s="331"/>
      <c r="BX172" s="331"/>
      <c r="BY172" s="331"/>
      <c r="BZ172" s="331"/>
      <c r="CA172" s="331"/>
      <c r="CB172" s="331"/>
      <c r="CC172" s="331"/>
      <c r="CD172" s="331"/>
      <c r="CE172" s="331"/>
      <c r="CF172" s="331"/>
      <c r="CG172" s="331"/>
      <c r="CH172" s="331"/>
      <c r="CI172" s="331"/>
      <c r="CJ172" s="331"/>
      <c r="CK172" s="331"/>
      <c r="CL172" s="331"/>
      <c r="CM172" s="331"/>
      <c r="CN172" s="331"/>
      <c r="CO172" s="331"/>
      <c r="CP172" s="331"/>
      <c r="CQ172" s="331"/>
      <c r="CR172" s="331"/>
      <c r="CS172" s="331"/>
      <c r="CT172" s="331"/>
      <c r="CU172" s="331"/>
      <c r="CV172" s="331"/>
      <c r="CW172" s="331"/>
      <c r="CX172" s="331"/>
      <c r="CY172" s="331"/>
      <c r="CZ172" s="331"/>
      <c r="DA172" s="331"/>
      <c r="DB172" s="331"/>
      <c r="DC172" s="331"/>
      <c r="DD172" s="331"/>
      <c r="DE172" s="331"/>
      <c r="DF172" s="331"/>
      <c r="DG172" s="331"/>
      <c r="DH172" s="331"/>
      <c r="DI172" s="331"/>
      <c r="DJ172" s="331"/>
      <c r="DK172" s="331"/>
      <c r="DL172" s="331"/>
      <c r="DM172" s="331"/>
      <c r="DN172" s="331"/>
      <c r="DO172" s="331"/>
      <c r="DP172" s="331"/>
      <c r="DQ172" s="331"/>
      <c r="DR172" s="331"/>
      <c r="DS172" s="331"/>
      <c r="DT172" s="331"/>
      <c r="DU172" s="331"/>
      <c r="DV172" s="331"/>
      <c r="DW172" s="331"/>
      <c r="DX172" s="331"/>
      <c r="DY172" s="331"/>
    </row>
    <row r="173" spans="1:129" s="331" customFormat="1" ht="63.75" x14ac:dyDescent="0.25">
      <c r="A173" s="257">
        <v>312</v>
      </c>
      <c r="B173" s="376" t="s">
        <v>431</v>
      </c>
      <c r="C173" s="257">
        <v>2</v>
      </c>
      <c r="D173" s="376" t="s">
        <v>382</v>
      </c>
      <c r="E173" s="257">
        <v>2</v>
      </c>
      <c r="F173" s="376" t="s">
        <v>455</v>
      </c>
      <c r="G173" s="257">
        <v>17</v>
      </c>
      <c r="H173" s="376" t="s">
        <v>212</v>
      </c>
      <c r="I173" s="257">
        <v>1708</v>
      </c>
      <c r="J173" s="376" t="s">
        <v>487</v>
      </c>
      <c r="K173" s="257">
        <v>1708016</v>
      </c>
      <c r="L173" s="376" t="s">
        <v>65</v>
      </c>
      <c r="M173" s="263" t="s">
        <v>488</v>
      </c>
      <c r="N173" s="388" t="s">
        <v>489</v>
      </c>
      <c r="O173" s="378" t="s">
        <v>26</v>
      </c>
      <c r="P173" s="280">
        <v>2</v>
      </c>
      <c r="Q173" s="280">
        <v>1</v>
      </c>
      <c r="R173" s="380">
        <v>2020003630026</v>
      </c>
      <c r="S173" s="418" t="s">
        <v>490</v>
      </c>
      <c r="T173" s="381"/>
      <c r="U173" s="381"/>
      <c r="V173" s="381"/>
      <c r="W173" s="381"/>
      <c r="X173" s="381"/>
      <c r="Y173" s="381"/>
      <c r="Z173" s="381"/>
      <c r="AA173" s="381"/>
      <c r="AB173" s="381"/>
      <c r="AC173" s="381"/>
      <c r="AD173" s="381"/>
      <c r="AE173" s="381"/>
      <c r="AF173" s="381"/>
      <c r="AG173" s="381"/>
      <c r="AH173" s="381"/>
      <c r="AI173" s="381"/>
      <c r="AJ173" s="381"/>
      <c r="AK173" s="381"/>
      <c r="AL173" s="381">
        <f>65000000-2000000</f>
        <v>63000000</v>
      </c>
      <c r="AM173" s="381">
        <v>63000000</v>
      </c>
      <c r="AN173" s="381">
        <v>63000000</v>
      </c>
      <c r="AO173" s="381"/>
      <c r="AP173" s="381"/>
      <c r="AQ173" s="381"/>
      <c r="AR173" s="381"/>
      <c r="AS173" s="381"/>
      <c r="AT173" s="381"/>
      <c r="AU173" s="381">
        <f t="shared" si="8"/>
        <v>63000000</v>
      </c>
      <c r="AV173" s="381">
        <f t="shared" si="9"/>
        <v>63000000</v>
      </c>
      <c r="AW173" s="381">
        <f t="shared" si="10"/>
        <v>63000000</v>
      </c>
      <c r="AX173" s="461" t="s">
        <v>437</v>
      </c>
    </row>
    <row r="174" spans="1:129" s="331" customFormat="1" ht="63.75" x14ac:dyDescent="0.25">
      <c r="A174" s="257">
        <v>312</v>
      </c>
      <c r="B174" s="376" t="s">
        <v>431</v>
      </c>
      <c r="C174" s="257">
        <v>2</v>
      </c>
      <c r="D174" s="376" t="s">
        <v>382</v>
      </c>
      <c r="E174" s="257">
        <v>2</v>
      </c>
      <c r="F174" s="376" t="s">
        <v>455</v>
      </c>
      <c r="G174" s="257">
        <v>17</v>
      </c>
      <c r="H174" s="376" t="s">
        <v>212</v>
      </c>
      <c r="I174" s="257">
        <v>1708</v>
      </c>
      <c r="J174" s="376" t="s">
        <v>487</v>
      </c>
      <c r="K174" s="257">
        <v>1708051</v>
      </c>
      <c r="L174" s="376" t="s">
        <v>491</v>
      </c>
      <c r="M174" s="263" t="s">
        <v>492</v>
      </c>
      <c r="N174" s="388" t="s">
        <v>396</v>
      </c>
      <c r="O174" s="378" t="s">
        <v>26</v>
      </c>
      <c r="P174" s="280">
        <v>1</v>
      </c>
      <c r="Q174" s="280">
        <v>0.8</v>
      </c>
      <c r="R174" s="380">
        <v>2020003630026</v>
      </c>
      <c r="S174" s="418" t="s">
        <v>490</v>
      </c>
      <c r="T174" s="381"/>
      <c r="U174" s="381"/>
      <c r="V174" s="381"/>
      <c r="W174" s="381"/>
      <c r="X174" s="381"/>
      <c r="Y174" s="381"/>
      <c r="Z174" s="381"/>
      <c r="AA174" s="381"/>
      <c r="AB174" s="381"/>
      <c r="AC174" s="381"/>
      <c r="AD174" s="381"/>
      <c r="AE174" s="381"/>
      <c r="AF174" s="381"/>
      <c r="AG174" s="381"/>
      <c r="AH174" s="381"/>
      <c r="AI174" s="381"/>
      <c r="AJ174" s="381"/>
      <c r="AK174" s="381"/>
      <c r="AL174" s="381">
        <f>65000000-34500000</f>
        <v>30500000</v>
      </c>
      <c r="AM174" s="381">
        <v>30500000</v>
      </c>
      <c r="AN174" s="381">
        <v>30500000</v>
      </c>
      <c r="AO174" s="381"/>
      <c r="AP174" s="381"/>
      <c r="AQ174" s="381"/>
      <c r="AR174" s="381"/>
      <c r="AS174" s="381"/>
      <c r="AT174" s="381"/>
      <c r="AU174" s="381">
        <f t="shared" si="8"/>
        <v>30500000</v>
      </c>
      <c r="AV174" s="381">
        <f t="shared" si="9"/>
        <v>30500000</v>
      </c>
      <c r="AW174" s="381">
        <f t="shared" si="10"/>
        <v>30500000</v>
      </c>
      <c r="AX174" s="461" t="s">
        <v>437</v>
      </c>
    </row>
    <row r="175" spans="1:129" s="332" customFormat="1" ht="63.75" x14ac:dyDescent="0.25">
      <c r="A175" s="259">
        <v>312</v>
      </c>
      <c r="B175" s="325" t="s">
        <v>431</v>
      </c>
      <c r="C175" s="306"/>
      <c r="D175" s="463"/>
      <c r="E175" s="306">
        <v>2</v>
      </c>
      <c r="F175" s="463" t="s">
        <v>455</v>
      </c>
      <c r="G175" s="305">
        <v>17</v>
      </c>
      <c r="H175" s="385" t="s">
        <v>212</v>
      </c>
      <c r="I175" s="305">
        <v>1708</v>
      </c>
      <c r="J175" s="333" t="s">
        <v>487</v>
      </c>
      <c r="K175" s="259">
        <v>1708016</v>
      </c>
      <c r="L175" s="333" t="s">
        <v>65</v>
      </c>
      <c r="M175" s="267">
        <v>170801600</v>
      </c>
      <c r="N175" s="333" t="s">
        <v>489</v>
      </c>
      <c r="O175" s="305" t="s">
        <v>67</v>
      </c>
      <c r="P175" s="305">
        <v>1</v>
      </c>
      <c r="Q175" s="305">
        <v>0.65</v>
      </c>
      <c r="R175" s="281">
        <v>2024003630113</v>
      </c>
      <c r="S175" s="464" t="s">
        <v>493</v>
      </c>
      <c r="T175" s="328"/>
      <c r="U175" s="328"/>
      <c r="V175" s="328"/>
      <c r="W175" s="328"/>
      <c r="X175" s="328"/>
      <c r="Y175" s="328"/>
      <c r="Z175" s="328"/>
      <c r="AA175" s="328"/>
      <c r="AB175" s="328"/>
      <c r="AC175" s="328"/>
      <c r="AD175" s="328"/>
      <c r="AE175" s="328"/>
      <c r="AF175" s="328"/>
      <c r="AG175" s="328"/>
      <c r="AH175" s="328"/>
      <c r="AI175" s="328"/>
      <c r="AJ175" s="328"/>
      <c r="AK175" s="328"/>
      <c r="AL175" s="328">
        <v>54000000</v>
      </c>
      <c r="AM175" s="328">
        <v>49253333</v>
      </c>
      <c r="AN175" s="328">
        <v>37800000</v>
      </c>
      <c r="AO175" s="328"/>
      <c r="AP175" s="328"/>
      <c r="AQ175" s="328"/>
      <c r="AR175" s="328"/>
      <c r="AS175" s="328"/>
      <c r="AT175" s="328"/>
      <c r="AU175" s="328">
        <f t="shared" si="8"/>
        <v>54000000</v>
      </c>
      <c r="AV175" s="328">
        <f t="shared" si="9"/>
        <v>49253333</v>
      </c>
      <c r="AW175" s="328">
        <f t="shared" si="10"/>
        <v>37800000</v>
      </c>
      <c r="AX175" s="462" t="s">
        <v>437</v>
      </c>
      <c r="AY175" s="331"/>
      <c r="AZ175" s="331"/>
      <c r="BA175" s="331"/>
      <c r="BB175" s="331"/>
      <c r="BC175" s="331"/>
      <c r="BD175" s="331"/>
      <c r="BE175" s="331"/>
      <c r="BF175" s="331"/>
      <c r="BG175" s="331"/>
      <c r="BH175" s="331"/>
      <c r="BI175" s="331"/>
      <c r="BJ175" s="331"/>
      <c r="BK175" s="331"/>
      <c r="BL175" s="331"/>
      <c r="BM175" s="331"/>
      <c r="BN175" s="331"/>
      <c r="BO175" s="331"/>
      <c r="BP175" s="331"/>
      <c r="BQ175" s="331"/>
      <c r="BR175" s="331"/>
      <c r="BS175" s="331"/>
      <c r="BT175" s="331"/>
      <c r="BU175" s="331"/>
      <c r="BV175" s="331"/>
      <c r="BW175" s="331"/>
      <c r="BX175" s="331"/>
      <c r="BY175" s="331"/>
      <c r="BZ175" s="331"/>
      <c r="CA175" s="331"/>
      <c r="CB175" s="331"/>
      <c r="CC175" s="331"/>
      <c r="CD175" s="331"/>
      <c r="CE175" s="331"/>
      <c r="CF175" s="331"/>
      <c r="CG175" s="331"/>
      <c r="CH175" s="331"/>
      <c r="CI175" s="331"/>
      <c r="CJ175" s="331"/>
      <c r="CK175" s="331"/>
      <c r="CL175" s="331"/>
      <c r="CM175" s="331"/>
      <c r="CN175" s="331"/>
      <c r="CO175" s="331"/>
      <c r="CP175" s="331"/>
      <c r="CQ175" s="331"/>
      <c r="CR175" s="331"/>
      <c r="CS175" s="331"/>
      <c r="CT175" s="331"/>
      <c r="CU175" s="331"/>
      <c r="CV175" s="331"/>
      <c r="CW175" s="331"/>
      <c r="CX175" s="331"/>
      <c r="CY175" s="331"/>
      <c r="CZ175" s="331"/>
      <c r="DA175" s="331"/>
      <c r="DB175" s="331"/>
      <c r="DC175" s="331"/>
      <c r="DD175" s="331"/>
      <c r="DE175" s="331"/>
      <c r="DF175" s="331"/>
      <c r="DG175" s="331"/>
      <c r="DH175" s="331"/>
      <c r="DI175" s="331"/>
      <c r="DJ175" s="331"/>
      <c r="DK175" s="331"/>
      <c r="DL175" s="331"/>
      <c r="DM175" s="331"/>
      <c r="DN175" s="331"/>
      <c r="DO175" s="331"/>
      <c r="DP175" s="331"/>
      <c r="DQ175" s="331"/>
      <c r="DR175" s="331"/>
      <c r="DS175" s="331"/>
      <c r="DT175" s="331"/>
      <c r="DU175" s="331"/>
      <c r="DV175" s="331"/>
      <c r="DW175" s="331"/>
      <c r="DX175" s="331"/>
      <c r="DY175" s="331"/>
    </row>
    <row r="176" spans="1:129" s="332" customFormat="1" ht="63.75" x14ac:dyDescent="0.25">
      <c r="A176" s="259">
        <v>312</v>
      </c>
      <c r="B176" s="325" t="s">
        <v>431</v>
      </c>
      <c r="C176" s="306"/>
      <c r="D176" s="463"/>
      <c r="E176" s="306">
        <v>2</v>
      </c>
      <c r="F176" s="463" t="s">
        <v>455</v>
      </c>
      <c r="G176" s="305">
        <v>17</v>
      </c>
      <c r="H176" s="385" t="s">
        <v>212</v>
      </c>
      <c r="I176" s="305">
        <v>1708</v>
      </c>
      <c r="J176" s="333" t="s">
        <v>487</v>
      </c>
      <c r="K176" s="305">
        <v>1708051</v>
      </c>
      <c r="L176" s="333" t="s">
        <v>491</v>
      </c>
      <c r="M176" s="267">
        <v>170805100</v>
      </c>
      <c r="N176" s="333" t="s">
        <v>396</v>
      </c>
      <c r="O176" s="305" t="s">
        <v>26</v>
      </c>
      <c r="P176" s="305">
        <v>1</v>
      </c>
      <c r="Q176" s="305">
        <v>0.8</v>
      </c>
      <c r="R176" s="281">
        <v>2024003630113</v>
      </c>
      <c r="S176" s="464" t="s">
        <v>493</v>
      </c>
      <c r="T176" s="328"/>
      <c r="U176" s="328"/>
      <c r="V176" s="328"/>
      <c r="W176" s="328"/>
      <c r="X176" s="328"/>
      <c r="Y176" s="328"/>
      <c r="Z176" s="328"/>
      <c r="AA176" s="328"/>
      <c r="AB176" s="328"/>
      <c r="AC176" s="328"/>
      <c r="AD176" s="328"/>
      <c r="AE176" s="328"/>
      <c r="AF176" s="328"/>
      <c r="AG176" s="328"/>
      <c r="AH176" s="328"/>
      <c r="AI176" s="328"/>
      <c r="AJ176" s="328"/>
      <c r="AK176" s="328"/>
      <c r="AL176" s="328">
        <v>34500000</v>
      </c>
      <c r="AM176" s="328">
        <v>33423332</v>
      </c>
      <c r="AN176" s="328">
        <v>22200000</v>
      </c>
      <c r="AO176" s="328"/>
      <c r="AP176" s="328"/>
      <c r="AQ176" s="328"/>
      <c r="AR176" s="328"/>
      <c r="AS176" s="328"/>
      <c r="AT176" s="328"/>
      <c r="AU176" s="328">
        <f t="shared" si="8"/>
        <v>34500000</v>
      </c>
      <c r="AV176" s="328">
        <f t="shared" si="9"/>
        <v>33423332</v>
      </c>
      <c r="AW176" s="328">
        <f t="shared" si="10"/>
        <v>22200000</v>
      </c>
      <c r="AX176" s="462" t="s">
        <v>437</v>
      </c>
      <c r="AY176" s="331"/>
      <c r="AZ176" s="331"/>
      <c r="BA176" s="331"/>
      <c r="BB176" s="331"/>
      <c r="BC176" s="331"/>
      <c r="BD176" s="331"/>
      <c r="BE176" s="331"/>
      <c r="BF176" s="331"/>
      <c r="BG176" s="331"/>
      <c r="BH176" s="331"/>
      <c r="BI176" s="331"/>
      <c r="BJ176" s="331"/>
      <c r="BK176" s="331"/>
      <c r="BL176" s="331"/>
      <c r="BM176" s="331"/>
      <c r="BN176" s="331"/>
      <c r="BO176" s="331"/>
      <c r="BP176" s="331"/>
      <c r="BQ176" s="331"/>
      <c r="BR176" s="331"/>
      <c r="BS176" s="331"/>
      <c r="BT176" s="331"/>
      <c r="BU176" s="331"/>
      <c r="BV176" s="331"/>
      <c r="BW176" s="331"/>
      <c r="BX176" s="331"/>
      <c r="BY176" s="331"/>
      <c r="BZ176" s="331"/>
      <c r="CA176" s="331"/>
      <c r="CB176" s="331"/>
      <c r="CC176" s="331"/>
      <c r="CD176" s="331"/>
      <c r="CE176" s="331"/>
      <c r="CF176" s="331"/>
      <c r="CG176" s="331"/>
      <c r="CH176" s="331"/>
      <c r="CI176" s="331"/>
      <c r="CJ176" s="331"/>
      <c r="CK176" s="331"/>
      <c r="CL176" s="331"/>
      <c r="CM176" s="331"/>
      <c r="CN176" s="331"/>
      <c r="CO176" s="331"/>
      <c r="CP176" s="331"/>
      <c r="CQ176" s="331"/>
      <c r="CR176" s="331"/>
      <c r="CS176" s="331"/>
      <c r="CT176" s="331"/>
      <c r="CU176" s="331"/>
      <c r="CV176" s="331"/>
      <c r="CW176" s="331"/>
      <c r="CX176" s="331"/>
      <c r="CY176" s="331"/>
      <c r="CZ176" s="331"/>
      <c r="DA176" s="331"/>
      <c r="DB176" s="331"/>
      <c r="DC176" s="331"/>
      <c r="DD176" s="331"/>
      <c r="DE176" s="331"/>
      <c r="DF176" s="331"/>
      <c r="DG176" s="331"/>
      <c r="DH176" s="331"/>
      <c r="DI176" s="331"/>
      <c r="DJ176" s="331"/>
      <c r="DK176" s="331"/>
      <c r="DL176" s="331"/>
      <c r="DM176" s="331"/>
      <c r="DN176" s="331"/>
      <c r="DO176" s="331"/>
      <c r="DP176" s="331"/>
      <c r="DQ176" s="331"/>
      <c r="DR176" s="331"/>
      <c r="DS176" s="331"/>
      <c r="DT176" s="331"/>
      <c r="DU176" s="331"/>
      <c r="DV176" s="331"/>
      <c r="DW176" s="331"/>
      <c r="DX176" s="331"/>
      <c r="DY176" s="331"/>
    </row>
    <row r="177" spans="1:129" s="332" customFormat="1" ht="63.75" x14ac:dyDescent="0.25">
      <c r="A177" s="259">
        <v>312</v>
      </c>
      <c r="B177" s="325" t="s">
        <v>431</v>
      </c>
      <c r="C177" s="306"/>
      <c r="D177" s="463"/>
      <c r="E177" s="306">
        <v>2</v>
      </c>
      <c r="F177" s="463" t="s">
        <v>455</v>
      </c>
      <c r="G177" s="305">
        <v>17</v>
      </c>
      <c r="H177" s="385" t="s">
        <v>212</v>
      </c>
      <c r="I177" s="305">
        <v>1708</v>
      </c>
      <c r="J177" s="333" t="s">
        <v>487</v>
      </c>
      <c r="K177" s="281">
        <v>1708040</v>
      </c>
      <c r="L177" s="333" t="s">
        <v>494</v>
      </c>
      <c r="M177" s="267">
        <v>170804000</v>
      </c>
      <c r="N177" s="333" t="s">
        <v>495</v>
      </c>
      <c r="O177" s="305" t="s">
        <v>26</v>
      </c>
      <c r="P177" s="305">
        <v>770</v>
      </c>
      <c r="Q177" s="305">
        <v>401</v>
      </c>
      <c r="R177" s="281">
        <v>2024003630113</v>
      </c>
      <c r="S177" s="464" t="s">
        <v>496</v>
      </c>
      <c r="T177" s="328"/>
      <c r="U177" s="328"/>
      <c r="V177" s="328"/>
      <c r="W177" s="328"/>
      <c r="X177" s="328"/>
      <c r="Y177" s="328"/>
      <c r="Z177" s="328"/>
      <c r="AA177" s="328"/>
      <c r="AB177" s="328"/>
      <c r="AC177" s="328"/>
      <c r="AD177" s="328"/>
      <c r="AE177" s="328"/>
      <c r="AF177" s="328"/>
      <c r="AG177" s="328"/>
      <c r="AH177" s="328"/>
      <c r="AI177" s="328"/>
      <c r="AJ177" s="328"/>
      <c r="AK177" s="328"/>
      <c r="AL177" s="328">
        <v>263000000</v>
      </c>
      <c r="AM177" s="328">
        <v>110536666</v>
      </c>
      <c r="AN177" s="328">
        <v>66100000</v>
      </c>
      <c r="AO177" s="328"/>
      <c r="AP177" s="328"/>
      <c r="AQ177" s="328"/>
      <c r="AR177" s="328"/>
      <c r="AS177" s="328"/>
      <c r="AT177" s="328"/>
      <c r="AU177" s="328">
        <f t="shared" si="8"/>
        <v>263000000</v>
      </c>
      <c r="AV177" s="328">
        <f t="shared" si="9"/>
        <v>110536666</v>
      </c>
      <c r="AW177" s="328">
        <f t="shared" si="10"/>
        <v>66100000</v>
      </c>
      <c r="AX177" s="462" t="s">
        <v>437</v>
      </c>
      <c r="AY177" s="331"/>
      <c r="AZ177" s="331"/>
      <c r="BA177" s="331"/>
      <c r="BB177" s="331"/>
      <c r="BC177" s="331"/>
      <c r="BD177" s="331"/>
      <c r="BE177" s="331"/>
      <c r="BF177" s="331"/>
      <c r="BG177" s="331"/>
      <c r="BH177" s="331"/>
      <c r="BI177" s="331"/>
      <c r="BJ177" s="331"/>
      <c r="BK177" s="331"/>
      <c r="BL177" s="331"/>
      <c r="BM177" s="331"/>
      <c r="BN177" s="331"/>
      <c r="BO177" s="331"/>
      <c r="BP177" s="331"/>
      <c r="BQ177" s="331"/>
      <c r="BR177" s="331"/>
      <c r="BS177" s="331"/>
      <c r="BT177" s="331"/>
      <c r="BU177" s="331"/>
      <c r="BV177" s="331"/>
      <c r="BW177" s="331"/>
      <c r="BX177" s="331"/>
      <c r="BY177" s="331"/>
      <c r="BZ177" s="331"/>
      <c r="CA177" s="331"/>
      <c r="CB177" s="331"/>
      <c r="CC177" s="331"/>
      <c r="CD177" s="331"/>
      <c r="CE177" s="331"/>
      <c r="CF177" s="331"/>
      <c r="CG177" s="331"/>
      <c r="CH177" s="331"/>
      <c r="CI177" s="331"/>
      <c r="CJ177" s="331"/>
      <c r="CK177" s="331"/>
      <c r="CL177" s="331"/>
      <c r="CM177" s="331"/>
      <c r="CN177" s="331"/>
      <c r="CO177" s="331"/>
      <c r="CP177" s="331"/>
      <c r="CQ177" s="331"/>
      <c r="CR177" s="331"/>
      <c r="CS177" s="331"/>
      <c r="CT177" s="331"/>
      <c r="CU177" s="331"/>
      <c r="CV177" s="331"/>
      <c r="CW177" s="331"/>
      <c r="CX177" s="331"/>
      <c r="CY177" s="331"/>
      <c r="CZ177" s="331"/>
      <c r="DA177" s="331"/>
      <c r="DB177" s="331"/>
      <c r="DC177" s="331"/>
      <c r="DD177" s="331"/>
      <c r="DE177" s="331"/>
      <c r="DF177" s="331"/>
      <c r="DG177" s="331"/>
      <c r="DH177" s="331"/>
      <c r="DI177" s="331"/>
      <c r="DJ177" s="331"/>
      <c r="DK177" s="331"/>
      <c r="DL177" s="331"/>
      <c r="DM177" s="331"/>
      <c r="DN177" s="331"/>
      <c r="DO177" s="331"/>
      <c r="DP177" s="331"/>
      <c r="DQ177" s="331"/>
      <c r="DR177" s="331"/>
      <c r="DS177" s="331"/>
      <c r="DT177" s="331"/>
      <c r="DU177" s="331"/>
      <c r="DV177" s="331"/>
      <c r="DW177" s="331"/>
      <c r="DX177" s="331"/>
      <c r="DY177" s="331"/>
    </row>
    <row r="178" spans="1:129" s="332" customFormat="1" ht="76.5" x14ac:dyDescent="0.25">
      <c r="A178" s="259">
        <v>312</v>
      </c>
      <c r="B178" s="325" t="s">
        <v>431</v>
      </c>
      <c r="C178" s="259"/>
      <c r="D178" s="325"/>
      <c r="E178" s="259">
        <v>2</v>
      </c>
      <c r="F178" s="325" t="s">
        <v>455</v>
      </c>
      <c r="G178" s="259">
        <v>17</v>
      </c>
      <c r="H178" s="325" t="s">
        <v>212</v>
      </c>
      <c r="I178" s="259">
        <v>1709</v>
      </c>
      <c r="J178" s="325" t="s">
        <v>214</v>
      </c>
      <c r="K178" s="259">
        <v>1709059</v>
      </c>
      <c r="L178" s="333" t="s">
        <v>497</v>
      </c>
      <c r="M178" s="267">
        <v>170905900</v>
      </c>
      <c r="N178" s="385" t="s">
        <v>497</v>
      </c>
      <c r="O178" s="305" t="s">
        <v>67</v>
      </c>
      <c r="P178" s="272">
        <v>1</v>
      </c>
      <c r="Q178" s="272">
        <v>0</v>
      </c>
      <c r="R178" s="281">
        <v>2024003630060</v>
      </c>
      <c r="S178" s="464" t="s">
        <v>498</v>
      </c>
      <c r="T178" s="328"/>
      <c r="U178" s="328"/>
      <c r="V178" s="328"/>
      <c r="W178" s="328"/>
      <c r="X178" s="328"/>
      <c r="Y178" s="328"/>
      <c r="Z178" s="328"/>
      <c r="AA178" s="328"/>
      <c r="AB178" s="328"/>
      <c r="AC178" s="328"/>
      <c r="AD178" s="328"/>
      <c r="AE178" s="328"/>
      <c r="AF178" s="328"/>
      <c r="AG178" s="328"/>
      <c r="AH178" s="328"/>
      <c r="AI178" s="328"/>
      <c r="AJ178" s="328"/>
      <c r="AK178" s="328"/>
      <c r="AL178" s="328">
        <v>60000000</v>
      </c>
      <c r="AM178" s="328">
        <v>47439391</v>
      </c>
      <c r="AN178" s="328"/>
      <c r="AO178" s="328"/>
      <c r="AP178" s="328"/>
      <c r="AQ178" s="328"/>
      <c r="AR178" s="328"/>
      <c r="AS178" s="328"/>
      <c r="AT178" s="328"/>
      <c r="AU178" s="328">
        <f t="shared" ref="AU178:AU233" si="11">SUM(T178,W178,Z178,AC178,AF178,AI178,AL178,AO178,AR178)</f>
        <v>60000000</v>
      </c>
      <c r="AV178" s="328">
        <f t="shared" si="9"/>
        <v>47439391</v>
      </c>
      <c r="AW178" s="328">
        <f t="shared" si="10"/>
        <v>0</v>
      </c>
      <c r="AX178" s="462" t="s">
        <v>437</v>
      </c>
      <c r="AY178" s="331"/>
      <c r="AZ178" s="331"/>
      <c r="BA178" s="331"/>
      <c r="BB178" s="331"/>
      <c r="BC178" s="331"/>
      <c r="BD178" s="331"/>
      <c r="BE178" s="331"/>
      <c r="BF178" s="331"/>
      <c r="BG178" s="331"/>
      <c r="BH178" s="331"/>
      <c r="BI178" s="331"/>
      <c r="BJ178" s="331"/>
      <c r="BK178" s="331"/>
      <c r="BL178" s="331"/>
      <c r="BM178" s="331"/>
      <c r="BN178" s="331"/>
      <c r="BO178" s="331"/>
      <c r="BP178" s="331"/>
      <c r="BQ178" s="331"/>
      <c r="BR178" s="331"/>
      <c r="BS178" s="331"/>
      <c r="BT178" s="331"/>
      <c r="BU178" s="331"/>
      <c r="BV178" s="331"/>
      <c r="BW178" s="331"/>
      <c r="BX178" s="331"/>
      <c r="BY178" s="331"/>
      <c r="BZ178" s="331"/>
      <c r="CA178" s="331"/>
      <c r="CB178" s="331"/>
      <c r="CC178" s="331"/>
      <c r="CD178" s="331"/>
      <c r="CE178" s="331"/>
      <c r="CF178" s="331"/>
      <c r="CG178" s="331"/>
      <c r="CH178" s="331"/>
      <c r="CI178" s="331"/>
      <c r="CJ178" s="331"/>
      <c r="CK178" s="331"/>
      <c r="CL178" s="331"/>
      <c r="CM178" s="331"/>
      <c r="CN178" s="331"/>
      <c r="CO178" s="331"/>
      <c r="CP178" s="331"/>
      <c r="CQ178" s="331"/>
      <c r="CR178" s="331"/>
      <c r="CS178" s="331"/>
      <c r="CT178" s="331"/>
      <c r="CU178" s="331"/>
      <c r="CV178" s="331"/>
      <c r="CW178" s="331"/>
      <c r="CX178" s="331"/>
      <c r="CY178" s="331"/>
      <c r="CZ178" s="331"/>
      <c r="DA178" s="331"/>
      <c r="DB178" s="331"/>
      <c r="DC178" s="331"/>
      <c r="DD178" s="331"/>
      <c r="DE178" s="331"/>
      <c r="DF178" s="331"/>
      <c r="DG178" s="331"/>
      <c r="DH178" s="331"/>
      <c r="DI178" s="331"/>
      <c r="DJ178" s="331"/>
      <c r="DK178" s="331"/>
      <c r="DL178" s="331"/>
      <c r="DM178" s="331"/>
      <c r="DN178" s="331"/>
      <c r="DO178" s="331"/>
      <c r="DP178" s="331"/>
      <c r="DQ178" s="331"/>
      <c r="DR178" s="331"/>
      <c r="DS178" s="331"/>
      <c r="DT178" s="331"/>
      <c r="DU178" s="331"/>
      <c r="DV178" s="331"/>
      <c r="DW178" s="331"/>
      <c r="DX178" s="331"/>
      <c r="DY178" s="331"/>
    </row>
    <row r="179" spans="1:129" s="331" customFormat="1" ht="63.75" x14ac:dyDescent="0.25">
      <c r="A179" s="257">
        <v>312</v>
      </c>
      <c r="B179" s="376" t="s">
        <v>431</v>
      </c>
      <c r="C179" s="257">
        <v>2</v>
      </c>
      <c r="D179" s="376" t="s">
        <v>382</v>
      </c>
      <c r="E179" s="257">
        <v>2</v>
      </c>
      <c r="F179" s="376" t="s">
        <v>455</v>
      </c>
      <c r="G179" s="257">
        <v>35</v>
      </c>
      <c r="H179" s="376" t="s">
        <v>383</v>
      </c>
      <c r="I179" s="257">
        <v>3502</v>
      </c>
      <c r="J179" s="376" t="s">
        <v>384</v>
      </c>
      <c r="K179" s="313">
        <v>3502017</v>
      </c>
      <c r="L179" s="376" t="s">
        <v>499</v>
      </c>
      <c r="M179" s="257" t="s">
        <v>500</v>
      </c>
      <c r="N179" s="257" t="s">
        <v>501</v>
      </c>
      <c r="O179" s="378" t="s">
        <v>26</v>
      </c>
      <c r="P179" s="280">
        <v>6</v>
      </c>
      <c r="Q179" s="280">
        <v>5</v>
      </c>
      <c r="R179" s="380">
        <v>2020003630085</v>
      </c>
      <c r="S179" s="418" t="s">
        <v>502</v>
      </c>
      <c r="T179" s="381"/>
      <c r="U179" s="381"/>
      <c r="V179" s="381"/>
      <c r="W179" s="381"/>
      <c r="X179" s="381"/>
      <c r="Y179" s="381"/>
      <c r="Z179" s="381"/>
      <c r="AA179" s="381"/>
      <c r="AB179" s="381"/>
      <c r="AC179" s="381"/>
      <c r="AD179" s="381"/>
      <c r="AE179" s="381"/>
      <c r="AF179" s="381"/>
      <c r="AG179" s="381"/>
      <c r="AH179" s="381"/>
      <c r="AI179" s="381"/>
      <c r="AJ179" s="381"/>
      <c r="AK179" s="381"/>
      <c r="AL179" s="381">
        <f>98000000-81966667</f>
        <v>16033333</v>
      </c>
      <c r="AM179" s="381">
        <v>16033333</v>
      </c>
      <c r="AN179" s="381">
        <v>16033333</v>
      </c>
      <c r="AO179" s="381"/>
      <c r="AP179" s="381"/>
      <c r="AQ179" s="381"/>
      <c r="AR179" s="381"/>
      <c r="AS179" s="381"/>
      <c r="AT179" s="381"/>
      <c r="AU179" s="381">
        <f t="shared" si="11"/>
        <v>16033333</v>
      </c>
      <c r="AV179" s="381">
        <f t="shared" si="9"/>
        <v>16033333</v>
      </c>
      <c r="AW179" s="381">
        <f t="shared" si="10"/>
        <v>16033333</v>
      </c>
      <c r="AX179" s="461" t="s">
        <v>437</v>
      </c>
    </row>
    <row r="180" spans="1:129" s="331" customFormat="1" ht="63.75" x14ac:dyDescent="0.25">
      <c r="A180" s="257">
        <v>312</v>
      </c>
      <c r="B180" s="376" t="s">
        <v>431</v>
      </c>
      <c r="C180" s="257">
        <v>2</v>
      </c>
      <c r="D180" s="376" t="s">
        <v>382</v>
      </c>
      <c r="E180" s="257">
        <v>2</v>
      </c>
      <c r="F180" s="376" t="s">
        <v>455</v>
      </c>
      <c r="G180" s="257">
        <v>35</v>
      </c>
      <c r="H180" s="376" t="s">
        <v>383</v>
      </c>
      <c r="I180" s="257">
        <v>3502</v>
      </c>
      <c r="J180" s="376" t="s">
        <v>384</v>
      </c>
      <c r="K180" s="257">
        <v>3502007</v>
      </c>
      <c r="L180" s="376" t="s">
        <v>394</v>
      </c>
      <c r="M180" s="376" t="s">
        <v>503</v>
      </c>
      <c r="N180" s="392" t="s">
        <v>391</v>
      </c>
      <c r="O180" s="378" t="s">
        <v>26</v>
      </c>
      <c r="P180" s="257">
        <v>5</v>
      </c>
      <c r="Q180" s="257">
        <v>4</v>
      </c>
      <c r="R180" s="380">
        <v>2020003630085</v>
      </c>
      <c r="S180" s="418" t="s">
        <v>502</v>
      </c>
      <c r="T180" s="381"/>
      <c r="U180" s="381"/>
      <c r="V180" s="381"/>
      <c r="W180" s="381"/>
      <c r="X180" s="381"/>
      <c r="Y180" s="381"/>
      <c r="Z180" s="381"/>
      <c r="AA180" s="381"/>
      <c r="AB180" s="381"/>
      <c r="AC180" s="381"/>
      <c r="AD180" s="381"/>
      <c r="AE180" s="381"/>
      <c r="AF180" s="381"/>
      <c r="AG180" s="381"/>
      <c r="AH180" s="381"/>
      <c r="AI180" s="381"/>
      <c r="AJ180" s="381"/>
      <c r="AK180" s="381"/>
      <c r="AL180" s="381">
        <f>58000000-20150001</f>
        <v>37849999</v>
      </c>
      <c r="AM180" s="381">
        <v>37849999</v>
      </c>
      <c r="AN180" s="381">
        <v>37849999</v>
      </c>
      <c r="AO180" s="381"/>
      <c r="AP180" s="381"/>
      <c r="AQ180" s="381"/>
      <c r="AR180" s="381"/>
      <c r="AS180" s="381"/>
      <c r="AT180" s="381"/>
      <c r="AU180" s="381">
        <f t="shared" si="11"/>
        <v>37849999</v>
      </c>
      <c r="AV180" s="381">
        <f t="shared" si="9"/>
        <v>37849999</v>
      </c>
      <c r="AW180" s="381">
        <f t="shared" si="10"/>
        <v>37849999</v>
      </c>
      <c r="AX180" s="461" t="s">
        <v>437</v>
      </c>
    </row>
    <row r="181" spans="1:129" s="332" customFormat="1" ht="63.75" x14ac:dyDescent="0.25">
      <c r="A181" s="325">
        <v>312</v>
      </c>
      <c r="B181" s="325" t="s">
        <v>431</v>
      </c>
      <c r="C181" s="259"/>
      <c r="D181" s="463"/>
      <c r="E181" s="259">
        <v>2</v>
      </c>
      <c r="F181" s="463" t="s">
        <v>455</v>
      </c>
      <c r="G181" s="259">
        <v>35</v>
      </c>
      <c r="H181" s="325" t="s">
        <v>383</v>
      </c>
      <c r="I181" s="306">
        <v>3502</v>
      </c>
      <c r="J181" s="385" t="s">
        <v>384</v>
      </c>
      <c r="K181" s="281">
        <v>3502007</v>
      </c>
      <c r="L181" s="385" t="s">
        <v>394</v>
      </c>
      <c r="M181" s="281">
        <v>350200700</v>
      </c>
      <c r="N181" s="385" t="s">
        <v>391</v>
      </c>
      <c r="O181" s="305" t="s">
        <v>26</v>
      </c>
      <c r="P181" s="306">
        <v>5</v>
      </c>
      <c r="Q181" s="306">
        <v>5</v>
      </c>
      <c r="R181" s="281">
        <v>2024003630073</v>
      </c>
      <c r="S181" s="464" t="s">
        <v>504</v>
      </c>
      <c r="T181" s="328"/>
      <c r="U181" s="328"/>
      <c r="V181" s="328"/>
      <c r="W181" s="328"/>
      <c r="X181" s="328"/>
      <c r="Y181" s="328"/>
      <c r="Z181" s="328"/>
      <c r="AA181" s="328"/>
      <c r="AB181" s="328"/>
      <c r="AC181" s="328"/>
      <c r="AD181" s="328"/>
      <c r="AE181" s="328"/>
      <c r="AF181" s="328"/>
      <c r="AG181" s="328"/>
      <c r="AH181" s="328"/>
      <c r="AI181" s="328"/>
      <c r="AJ181" s="328"/>
      <c r="AK181" s="328"/>
      <c r="AL181" s="328">
        <v>8150001</v>
      </c>
      <c r="AM181" s="328">
        <v>8150000</v>
      </c>
      <c r="AN181" s="328">
        <v>0</v>
      </c>
      <c r="AO181" s="328"/>
      <c r="AP181" s="328"/>
      <c r="AQ181" s="328"/>
      <c r="AR181" s="328"/>
      <c r="AS181" s="328"/>
      <c r="AT181" s="328"/>
      <c r="AU181" s="328">
        <f t="shared" si="11"/>
        <v>8150001</v>
      </c>
      <c r="AV181" s="328">
        <f t="shared" si="9"/>
        <v>8150000</v>
      </c>
      <c r="AW181" s="328">
        <f t="shared" si="10"/>
        <v>0</v>
      </c>
      <c r="AX181" s="462" t="s">
        <v>437</v>
      </c>
      <c r="AY181" s="331"/>
      <c r="AZ181" s="331"/>
      <c r="BA181" s="331"/>
      <c r="BB181" s="331"/>
      <c r="BC181" s="331"/>
      <c r="BD181" s="331"/>
      <c r="BE181" s="331"/>
      <c r="BF181" s="331"/>
      <c r="BG181" s="331"/>
      <c r="BH181" s="331"/>
      <c r="BI181" s="331"/>
      <c r="BJ181" s="331"/>
      <c r="BK181" s="331"/>
      <c r="BL181" s="331"/>
      <c r="BM181" s="331"/>
      <c r="BN181" s="331"/>
      <c r="BO181" s="331"/>
      <c r="BP181" s="331"/>
      <c r="BQ181" s="331"/>
      <c r="BR181" s="331"/>
      <c r="BS181" s="331"/>
      <c r="BT181" s="331"/>
      <c r="BU181" s="331"/>
      <c r="BV181" s="331"/>
      <c r="BW181" s="331"/>
      <c r="BX181" s="331"/>
      <c r="BY181" s="331"/>
      <c r="BZ181" s="331"/>
      <c r="CA181" s="331"/>
      <c r="CB181" s="331"/>
      <c r="CC181" s="331"/>
      <c r="CD181" s="331"/>
      <c r="CE181" s="331"/>
      <c r="CF181" s="331"/>
      <c r="CG181" s="331"/>
      <c r="CH181" s="331"/>
      <c r="CI181" s="331"/>
      <c r="CJ181" s="331"/>
      <c r="CK181" s="331"/>
      <c r="CL181" s="331"/>
      <c r="CM181" s="331"/>
      <c r="CN181" s="331"/>
      <c r="CO181" s="331"/>
      <c r="CP181" s="331"/>
      <c r="CQ181" s="331"/>
      <c r="CR181" s="331"/>
      <c r="CS181" s="331"/>
      <c r="CT181" s="331"/>
      <c r="CU181" s="331"/>
      <c r="CV181" s="331"/>
      <c r="CW181" s="331"/>
      <c r="CX181" s="331"/>
      <c r="CY181" s="331"/>
      <c r="CZ181" s="331"/>
      <c r="DA181" s="331"/>
      <c r="DB181" s="331"/>
      <c r="DC181" s="331"/>
      <c r="DD181" s="331"/>
      <c r="DE181" s="331"/>
      <c r="DF181" s="331"/>
      <c r="DG181" s="331"/>
      <c r="DH181" s="331"/>
      <c r="DI181" s="331"/>
      <c r="DJ181" s="331"/>
      <c r="DK181" s="331"/>
      <c r="DL181" s="331"/>
      <c r="DM181" s="331"/>
      <c r="DN181" s="331"/>
      <c r="DO181" s="331"/>
      <c r="DP181" s="331"/>
      <c r="DQ181" s="331"/>
      <c r="DR181" s="331"/>
      <c r="DS181" s="331"/>
      <c r="DT181" s="331"/>
      <c r="DU181" s="331"/>
      <c r="DV181" s="331"/>
      <c r="DW181" s="331"/>
      <c r="DX181" s="331"/>
      <c r="DY181" s="331"/>
    </row>
    <row r="182" spans="1:129" s="332" customFormat="1" ht="63.75" x14ac:dyDescent="0.25">
      <c r="A182" s="259">
        <v>312</v>
      </c>
      <c r="B182" s="325" t="s">
        <v>431</v>
      </c>
      <c r="C182" s="259"/>
      <c r="D182" s="463"/>
      <c r="E182" s="259">
        <v>2</v>
      </c>
      <c r="F182" s="463" t="s">
        <v>455</v>
      </c>
      <c r="G182" s="259">
        <v>35</v>
      </c>
      <c r="H182" s="325" t="s">
        <v>383</v>
      </c>
      <c r="I182" s="306">
        <v>3502</v>
      </c>
      <c r="J182" s="385" t="s">
        <v>384</v>
      </c>
      <c r="K182" s="281" t="s">
        <v>505</v>
      </c>
      <c r="L182" s="385" t="s">
        <v>499</v>
      </c>
      <c r="M182" s="281">
        <v>350201700</v>
      </c>
      <c r="N182" s="385" t="s">
        <v>506</v>
      </c>
      <c r="O182" s="305" t="s">
        <v>26</v>
      </c>
      <c r="P182" s="306">
        <v>5</v>
      </c>
      <c r="Q182" s="306">
        <v>6</v>
      </c>
      <c r="R182" s="281">
        <v>2024003630073</v>
      </c>
      <c r="S182" s="464" t="s">
        <v>504</v>
      </c>
      <c r="T182" s="328"/>
      <c r="U182" s="328"/>
      <c r="V182" s="328"/>
      <c r="W182" s="328"/>
      <c r="X182" s="328"/>
      <c r="Y182" s="328"/>
      <c r="Z182" s="328"/>
      <c r="AA182" s="328"/>
      <c r="AB182" s="328"/>
      <c r="AC182" s="328"/>
      <c r="AD182" s="328"/>
      <c r="AE182" s="328"/>
      <c r="AF182" s="328"/>
      <c r="AG182" s="328"/>
      <c r="AH182" s="328"/>
      <c r="AI182" s="328"/>
      <c r="AJ182" s="328"/>
      <c r="AK182" s="328"/>
      <c r="AL182" s="328">
        <v>81966667</v>
      </c>
      <c r="AM182" s="328">
        <v>79246666</v>
      </c>
      <c r="AN182" s="328">
        <v>47000000</v>
      </c>
      <c r="AO182" s="328"/>
      <c r="AP182" s="328"/>
      <c r="AQ182" s="328"/>
      <c r="AR182" s="328"/>
      <c r="AS182" s="328"/>
      <c r="AT182" s="328"/>
      <c r="AU182" s="328">
        <f t="shared" si="11"/>
        <v>81966667</v>
      </c>
      <c r="AV182" s="328">
        <f t="shared" si="9"/>
        <v>79246666</v>
      </c>
      <c r="AW182" s="328">
        <f t="shared" si="10"/>
        <v>47000000</v>
      </c>
      <c r="AX182" s="462" t="s">
        <v>437</v>
      </c>
      <c r="AY182" s="331"/>
      <c r="AZ182" s="331"/>
      <c r="BA182" s="331"/>
      <c r="BB182" s="331"/>
      <c r="BC182" s="331"/>
      <c r="BD182" s="331"/>
      <c r="BE182" s="331"/>
      <c r="BF182" s="331"/>
      <c r="BG182" s="331"/>
      <c r="BH182" s="331"/>
      <c r="BI182" s="331"/>
      <c r="BJ182" s="331"/>
      <c r="BK182" s="331"/>
      <c r="BL182" s="331"/>
      <c r="BM182" s="331"/>
      <c r="BN182" s="331"/>
      <c r="BO182" s="331"/>
      <c r="BP182" s="331"/>
      <c r="BQ182" s="331"/>
      <c r="BR182" s="331"/>
      <c r="BS182" s="331"/>
      <c r="BT182" s="331"/>
      <c r="BU182" s="331"/>
      <c r="BV182" s="331"/>
      <c r="BW182" s="331"/>
      <c r="BX182" s="331"/>
      <c r="BY182" s="331"/>
      <c r="BZ182" s="331"/>
      <c r="CA182" s="331"/>
      <c r="CB182" s="331"/>
      <c r="CC182" s="331"/>
      <c r="CD182" s="331"/>
      <c r="CE182" s="331"/>
      <c r="CF182" s="331"/>
      <c r="CG182" s="331"/>
      <c r="CH182" s="331"/>
      <c r="CI182" s="331"/>
      <c r="CJ182" s="331"/>
      <c r="CK182" s="331"/>
      <c r="CL182" s="331"/>
      <c r="CM182" s="331"/>
      <c r="CN182" s="331"/>
      <c r="CO182" s="331"/>
      <c r="CP182" s="331"/>
      <c r="CQ182" s="331"/>
      <c r="CR182" s="331"/>
      <c r="CS182" s="331"/>
      <c r="CT182" s="331"/>
      <c r="CU182" s="331"/>
      <c r="CV182" s="331"/>
      <c r="CW182" s="331"/>
      <c r="CX182" s="331"/>
      <c r="CY182" s="331"/>
      <c r="CZ182" s="331"/>
      <c r="DA182" s="331"/>
      <c r="DB182" s="331"/>
      <c r="DC182" s="331"/>
      <c r="DD182" s="331"/>
      <c r="DE182" s="331"/>
      <c r="DF182" s="331"/>
      <c r="DG182" s="331"/>
      <c r="DH182" s="331"/>
      <c r="DI182" s="331"/>
      <c r="DJ182" s="331"/>
      <c r="DK182" s="331"/>
      <c r="DL182" s="331"/>
      <c r="DM182" s="331"/>
      <c r="DN182" s="331"/>
      <c r="DO182" s="331"/>
      <c r="DP182" s="331"/>
      <c r="DQ182" s="331"/>
      <c r="DR182" s="331"/>
      <c r="DS182" s="331"/>
      <c r="DT182" s="331"/>
      <c r="DU182" s="331"/>
      <c r="DV182" s="331"/>
      <c r="DW182" s="331"/>
      <c r="DX182" s="331"/>
      <c r="DY182" s="331"/>
    </row>
    <row r="183" spans="1:129" s="331" customFormat="1" ht="89.25" x14ac:dyDescent="0.25">
      <c r="A183" s="257">
        <v>312</v>
      </c>
      <c r="B183" s="376" t="s">
        <v>431</v>
      </c>
      <c r="C183" s="257">
        <v>3</v>
      </c>
      <c r="D183" s="376" t="s">
        <v>146</v>
      </c>
      <c r="E183" s="257">
        <v>2</v>
      </c>
      <c r="F183" s="376" t="s">
        <v>455</v>
      </c>
      <c r="G183" s="257">
        <v>32</v>
      </c>
      <c r="H183" s="376" t="s">
        <v>160</v>
      </c>
      <c r="I183" s="257" t="s">
        <v>507</v>
      </c>
      <c r="J183" s="376" t="s">
        <v>508</v>
      </c>
      <c r="K183" s="281">
        <v>3201013</v>
      </c>
      <c r="L183" s="376" t="s">
        <v>509</v>
      </c>
      <c r="M183" s="263" t="s">
        <v>510</v>
      </c>
      <c r="N183" s="388" t="s">
        <v>511</v>
      </c>
      <c r="O183" s="382" t="s">
        <v>67</v>
      </c>
      <c r="P183" s="280">
        <v>1</v>
      </c>
      <c r="Q183" s="280">
        <v>0.03</v>
      </c>
      <c r="R183" s="380">
        <v>2020003630027</v>
      </c>
      <c r="S183" s="418" t="s">
        <v>512</v>
      </c>
      <c r="T183" s="416"/>
      <c r="U183" s="416"/>
      <c r="V183" s="416"/>
      <c r="W183" s="416"/>
      <c r="X183" s="416"/>
      <c r="Y183" s="416"/>
      <c r="Z183" s="416"/>
      <c r="AA183" s="416"/>
      <c r="AB183" s="416"/>
      <c r="AC183" s="416"/>
      <c r="AD183" s="416"/>
      <c r="AE183" s="416"/>
      <c r="AF183" s="416"/>
      <c r="AG183" s="416"/>
      <c r="AH183" s="416"/>
      <c r="AI183" s="416"/>
      <c r="AJ183" s="416"/>
      <c r="AK183" s="416"/>
      <c r="AL183" s="381">
        <f>42000000-33983334</f>
        <v>8016666</v>
      </c>
      <c r="AM183" s="381">
        <v>8016666</v>
      </c>
      <c r="AN183" s="381">
        <v>8016666</v>
      </c>
      <c r="AO183" s="381"/>
      <c r="AP183" s="381"/>
      <c r="AQ183" s="381"/>
      <c r="AR183" s="381"/>
      <c r="AS183" s="381"/>
      <c r="AT183" s="381"/>
      <c r="AU183" s="381">
        <f t="shared" si="11"/>
        <v>8016666</v>
      </c>
      <c r="AV183" s="381">
        <f t="shared" si="9"/>
        <v>8016666</v>
      </c>
      <c r="AW183" s="381">
        <f t="shared" si="10"/>
        <v>8016666</v>
      </c>
      <c r="AX183" s="461" t="s">
        <v>437</v>
      </c>
    </row>
    <row r="184" spans="1:129" s="331" customFormat="1" ht="63.75" x14ac:dyDescent="0.25">
      <c r="A184" s="257">
        <v>312</v>
      </c>
      <c r="B184" s="376" t="s">
        <v>431</v>
      </c>
      <c r="C184" s="257">
        <v>3</v>
      </c>
      <c r="D184" s="376" t="s">
        <v>146</v>
      </c>
      <c r="E184" s="257">
        <v>2</v>
      </c>
      <c r="F184" s="376" t="s">
        <v>455</v>
      </c>
      <c r="G184" s="257">
        <v>32</v>
      </c>
      <c r="H184" s="376" t="s">
        <v>160</v>
      </c>
      <c r="I184" s="257" t="s">
        <v>507</v>
      </c>
      <c r="J184" s="376" t="s">
        <v>508</v>
      </c>
      <c r="K184" s="281">
        <v>3201008</v>
      </c>
      <c r="L184" s="376" t="s">
        <v>513</v>
      </c>
      <c r="M184" s="263" t="s">
        <v>514</v>
      </c>
      <c r="N184" s="388" t="s">
        <v>515</v>
      </c>
      <c r="O184" s="382" t="s">
        <v>67</v>
      </c>
      <c r="P184" s="280">
        <v>3</v>
      </c>
      <c r="Q184" s="280">
        <v>0</v>
      </c>
      <c r="R184" s="380">
        <v>2020003630027</v>
      </c>
      <c r="S184" s="418" t="s">
        <v>512</v>
      </c>
      <c r="T184" s="416"/>
      <c r="U184" s="416"/>
      <c r="V184" s="416"/>
      <c r="W184" s="416"/>
      <c r="X184" s="416"/>
      <c r="Y184" s="416"/>
      <c r="Z184" s="416"/>
      <c r="AA184" s="416"/>
      <c r="AB184" s="416"/>
      <c r="AC184" s="416"/>
      <c r="AD184" s="416"/>
      <c r="AE184" s="416"/>
      <c r="AF184" s="416"/>
      <c r="AG184" s="416"/>
      <c r="AH184" s="416"/>
      <c r="AI184" s="416"/>
      <c r="AJ184" s="416"/>
      <c r="AK184" s="416"/>
      <c r="AL184" s="381">
        <f>110000000-104000000</f>
        <v>6000000</v>
      </c>
      <c r="AM184" s="381">
        <v>6000000</v>
      </c>
      <c r="AN184" s="381">
        <v>6000000</v>
      </c>
      <c r="AO184" s="381"/>
      <c r="AP184" s="381"/>
      <c r="AQ184" s="381"/>
      <c r="AR184" s="381"/>
      <c r="AS184" s="381"/>
      <c r="AT184" s="381"/>
      <c r="AU184" s="381">
        <f t="shared" si="11"/>
        <v>6000000</v>
      </c>
      <c r="AV184" s="381">
        <f t="shared" si="9"/>
        <v>6000000</v>
      </c>
      <c r="AW184" s="381">
        <f t="shared" si="10"/>
        <v>6000000</v>
      </c>
      <c r="AX184" s="461" t="s">
        <v>437</v>
      </c>
    </row>
    <row r="185" spans="1:129" s="332" customFormat="1" ht="63.75" x14ac:dyDescent="0.25">
      <c r="A185" s="259">
        <v>312</v>
      </c>
      <c r="B185" s="325" t="s">
        <v>431</v>
      </c>
      <c r="C185" s="306"/>
      <c r="D185" s="386"/>
      <c r="E185" s="306">
        <v>2</v>
      </c>
      <c r="F185" s="386" t="s">
        <v>455</v>
      </c>
      <c r="G185" s="305">
        <v>32</v>
      </c>
      <c r="H185" s="333" t="s">
        <v>160</v>
      </c>
      <c r="I185" s="305">
        <v>3201</v>
      </c>
      <c r="J185" s="333" t="s">
        <v>508</v>
      </c>
      <c r="K185" s="281" t="s">
        <v>516</v>
      </c>
      <c r="L185" s="333" t="s">
        <v>513</v>
      </c>
      <c r="M185" s="266">
        <v>320100805</v>
      </c>
      <c r="N185" s="333" t="s">
        <v>515</v>
      </c>
      <c r="O185" s="305" t="s">
        <v>67</v>
      </c>
      <c r="P185" s="305">
        <v>2</v>
      </c>
      <c r="Q185" s="305">
        <v>0</v>
      </c>
      <c r="R185" s="281">
        <v>2024003630094</v>
      </c>
      <c r="S185" s="408" t="s">
        <v>517</v>
      </c>
      <c r="T185" s="467"/>
      <c r="U185" s="467"/>
      <c r="V185" s="467"/>
      <c r="W185" s="467"/>
      <c r="X185" s="467"/>
      <c r="Y185" s="467"/>
      <c r="Z185" s="467"/>
      <c r="AA185" s="467"/>
      <c r="AB185" s="467"/>
      <c r="AC185" s="467"/>
      <c r="AD185" s="467"/>
      <c r="AE185" s="467"/>
      <c r="AF185" s="467"/>
      <c r="AG185" s="467"/>
      <c r="AH185" s="467"/>
      <c r="AI185" s="467"/>
      <c r="AJ185" s="467"/>
      <c r="AK185" s="467"/>
      <c r="AL185" s="328">
        <v>60000000</v>
      </c>
      <c r="AM185" s="328">
        <v>0</v>
      </c>
      <c r="AN185" s="328"/>
      <c r="AO185" s="328"/>
      <c r="AP185" s="328"/>
      <c r="AQ185" s="328"/>
      <c r="AR185" s="328"/>
      <c r="AS185" s="328"/>
      <c r="AT185" s="328"/>
      <c r="AU185" s="328">
        <f t="shared" si="11"/>
        <v>60000000</v>
      </c>
      <c r="AV185" s="328">
        <f t="shared" si="9"/>
        <v>0</v>
      </c>
      <c r="AW185" s="328">
        <f t="shared" si="10"/>
        <v>0</v>
      </c>
      <c r="AX185" s="462" t="s">
        <v>437</v>
      </c>
      <c r="AY185" s="331"/>
      <c r="AZ185" s="331"/>
      <c r="BA185" s="331"/>
      <c r="BB185" s="331"/>
      <c r="BC185" s="331"/>
      <c r="BD185" s="331"/>
      <c r="BE185" s="331"/>
      <c r="BF185" s="331"/>
      <c r="BG185" s="331"/>
      <c r="BH185" s="331"/>
      <c r="BI185" s="331"/>
      <c r="BJ185" s="331"/>
      <c r="BK185" s="331"/>
      <c r="BL185" s="331"/>
      <c r="BM185" s="331"/>
      <c r="BN185" s="331"/>
      <c r="BO185" s="331"/>
      <c r="BP185" s="331"/>
      <c r="BQ185" s="331"/>
      <c r="BR185" s="331"/>
      <c r="BS185" s="331"/>
      <c r="BT185" s="331"/>
      <c r="BU185" s="331"/>
      <c r="BV185" s="331"/>
      <c r="BW185" s="331"/>
      <c r="BX185" s="331"/>
      <c r="BY185" s="331"/>
      <c r="BZ185" s="331"/>
      <c r="CA185" s="331"/>
      <c r="CB185" s="331"/>
      <c r="CC185" s="331"/>
      <c r="CD185" s="331"/>
      <c r="CE185" s="331"/>
      <c r="CF185" s="331"/>
      <c r="CG185" s="331"/>
      <c r="CH185" s="331"/>
      <c r="CI185" s="331"/>
      <c r="CJ185" s="331"/>
      <c r="CK185" s="331"/>
      <c r="CL185" s="331"/>
      <c r="CM185" s="331"/>
      <c r="CN185" s="331"/>
      <c r="CO185" s="331"/>
      <c r="CP185" s="331"/>
      <c r="CQ185" s="331"/>
      <c r="CR185" s="331"/>
      <c r="CS185" s="331"/>
      <c r="CT185" s="331"/>
      <c r="CU185" s="331"/>
      <c r="CV185" s="331"/>
      <c r="CW185" s="331"/>
      <c r="CX185" s="331"/>
      <c r="CY185" s="331"/>
      <c r="CZ185" s="331"/>
      <c r="DA185" s="331"/>
      <c r="DB185" s="331"/>
      <c r="DC185" s="331"/>
      <c r="DD185" s="331"/>
      <c r="DE185" s="331"/>
      <c r="DF185" s="331"/>
      <c r="DG185" s="331"/>
      <c r="DH185" s="331"/>
      <c r="DI185" s="331"/>
      <c r="DJ185" s="331"/>
      <c r="DK185" s="331"/>
      <c r="DL185" s="331"/>
      <c r="DM185" s="331"/>
      <c r="DN185" s="331"/>
      <c r="DO185" s="331"/>
      <c r="DP185" s="331"/>
      <c r="DQ185" s="331"/>
      <c r="DR185" s="331"/>
      <c r="DS185" s="331"/>
      <c r="DT185" s="331"/>
      <c r="DU185" s="331"/>
      <c r="DV185" s="331"/>
      <c r="DW185" s="331"/>
      <c r="DX185" s="331"/>
      <c r="DY185" s="331"/>
    </row>
    <row r="186" spans="1:129" s="332" customFormat="1" ht="89.25" x14ac:dyDescent="0.25">
      <c r="A186" s="259">
        <v>312</v>
      </c>
      <c r="B186" s="325" t="s">
        <v>431</v>
      </c>
      <c r="C186" s="306"/>
      <c r="D186" s="386"/>
      <c r="E186" s="306">
        <v>2</v>
      </c>
      <c r="F186" s="386" t="s">
        <v>455</v>
      </c>
      <c r="G186" s="305">
        <v>32</v>
      </c>
      <c r="H186" s="333" t="s">
        <v>160</v>
      </c>
      <c r="I186" s="305">
        <v>3201</v>
      </c>
      <c r="J186" s="333" t="s">
        <v>508</v>
      </c>
      <c r="K186" s="282" t="s">
        <v>518</v>
      </c>
      <c r="L186" s="333" t="s">
        <v>519</v>
      </c>
      <c r="M186" s="266" t="s">
        <v>510</v>
      </c>
      <c r="N186" s="333" t="s">
        <v>520</v>
      </c>
      <c r="O186" s="305" t="s">
        <v>67</v>
      </c>
      <c r="P186" s="272">
        <v>2</v>
      </c>
      <c r="Q186" s="272">
        <v>0</v>
      </c>
      <c r="R186" s="281">
        <v>2024003630094</v>
      </c>
      <c r="S186" s="408" t="s">
        <v>517</v>
      </c>
      <c r="T186" s="467"/>
      <c r="U186" s="467"/>
      <c r="V186" s="467"/>
      <c r="W186" s="467"/>
      <c r="X186" s="467"/>
      <c r="Y186" s="467"/>
      <c r="Z186" s="467"/>
      <c r="AA186" s="467"/>
      <c r="AB186" s="467"/>
      <c r="AC186" s="467"/>
      <c r="AD186" s="467"/>
      <c r="AE186" s="467"/>
      <c r="AF186" s="467"/>
      <c r="AG186" s="467"/>
      <c r="AH186" s="467"/>
      <c r="AI186" s="467"/>
      <c r="AJ186" s="467"/>
      <c r="AK186" s="467"/>
      <c r="AL186" s="328">
        <v>15000000</v>
      </c>
      <c r="AM186" s="328">
        <v>11100000</v>
      </c>
      <c r="AN186" s="328">
        <v>7400000</v>
      </c>
      <c r="AO186" s="328"/>
      <c r="AP186" s="328"/>
      <c r="AQ186" s="328"/>
      <c r="AR186" s="328"/>
      <c r="AS186" s="328"/>
      <c r="AT186" s="328"/>
      <c r="AU186" s="328">
        <f t="shared" si="11"/>
        <v>15000000</v>
      </c>
      <c r="AV186" s="328">
        <f t="shared" si="9"/>
        <v>11100000</v>
      </c>
      <c r="AW186" s="328">
        <f t="shared" si="10"/>
        <v>7400000</v>
      </c>
      <c r="AX186" s="462" t="s">
        <v>437</v>
      </c>
      <c r="AY186" s="331"/>
      <c r="AZ186" s="331"/>
      <c r="BA186" s="331"/>
      <c r="BB186" s="331"/>
      <c r="BC186" s="331"/>
      <c r="BD186" s="331"/>
      <c r="BE186" s="331"/>
      <c r="BF186" s="331"/>
      <c r="BG186" s="331"/>
      <c r="BH186" s="331"/>
      <c r="BI186" s="331"/>
      <c r="BJ186" s="331"/>
      <c r="BK186" s="331"/>
      <c r="BL186" s="331"/>
      <c r="BM186" s="331"/>
      <c r="BN186" s="331"/>
      <c r="BO186" s="331"/>
      <c r="BP186" s="331"/>
      <c r="BQ186" s="331"/>
      <c r="BR186" s="331"/>
      <c r="BS186" s="331"/>
      <c r="BT186" s="331"/>
      <c r="BU186" s="331"/>
      <c r="BV186" s="331"/>
      <c r="BW186" s="331"/>
      <c r="BX186" s="331"/>
      <c r="BY186" s="331"/>
      <c r="BZ186" s="331"/>
      <c r="CA186" s="331"/>
      <c r="CB186" s="331"/>
      <c r="CC186" s="331"/>
      <c r="CD186" s="331"/>
      <c r="CE186" s="331"/>
      <c r="CF186" s="331"/>
      <c r="CG186" s="331"/>
      <c r="CH186" s="331"/>
      <c r="CI186" s="331"/>
      <c r="CJ186" s="331"/>
      <c r="CK186" s="331"/>
      <c r="CL186" s="331"/>
      <c r="CM186" s="331"/>
      <c r="CN186" s="331"/>
      <c r="CO186" s="331"/>
      <c r="CP186" s="331"/>
      <c r="CQ186" s="331"/>
      <c r="CR186" s="331"/>
      <c r="CS186" s="331"/>
      <c r="CT186" s="331"/>
      <c r="CU186" s="331"/>
      <c r="CV186" s="331"/>
      <c r="CW186" s="331"/>
      <c r="CX186" s="331"/>
      <c r="CY186" s="331"/>
      <c r="CZ186" s="331"/>
      <c r="DA186" s="331"/>
      <c r="DB186" s="331"/>
      <c r="DC186" s="331"/>
      <c r="DD186" s="331"/>
      <c r="DE186" s="331"/>
      <c r="DF186" s="331"/>
      <c r="DG186" s="331"/>
      <c r="DH186" s="331"/>
      <c r="DI186" s="331"/>
      <c r="DJ186" s="331"/>
      <c r="DK186" s="331"/>
      <c r="DL186" s="331"/>
      <c r="DM186" s="331"/>
      <c r="DN186" s="331"/>
      <c r="DO186" s="331"/>
      <c r="DP186" s="331"/>
      <c r="DQ186" s="331"/>
      <c r="DR186" s="331"/>
      <c r="DS186" s="331"/>
      <c r="DT186" s="331"/>
      <c r="DU186" s="331"/>
      <c r="DV186" s="331"/>
      <c r="DW186" s="331"/>
      <c r="DX186" s="331"/>
      <c r="DY186" s="331"/>
    </row>
    <row r="187" spans="1:129" s="331" customFormat="1" ht="63.75" x14ac:dyDescent="0.25">
      <c r="A187" s="257">
        <v>312</v>
      </c>
      <c r="B187" s="376" t="s">
        <v>431</v>
      </c>
      <c r="C187" s="257">
        <v>3</v>
      </c>
      <c r="D187" s="376" t="s">
        <v>146</v>
      </c>
      <c r="E187" s="257">
        <v>2</v>
      </c>
      <c r="F187" s="376" t="s">
        <v>455</v>
      </c>
      <c r="G187" s="257">
        <v>32</v>
      </c>
      <c r="H187" s="376" t="s">
        <v>160</v>
      </c>
      <c r="I187" s="257">
        <v>3202</v>
      </c>
      <c r="J187" s="376" t="s">
        <v>521</v>
      </c>
      <c r="K187" s="257">
        <v>3202037</v>
      </c>
      <c r="L187" s="376" t="s">
        <v>522</v>
      </c>
      <c r="M187" s="269">
        <v>320203700</v>
      </c>
      <c r="N187" s="388" t="s">
        <v>524</v>
      </c>
      <c r="O187" s="382" t="s">
        <v>67</v>
      </c>
      <c r="P187" s="280">
        <v>60</v>
      </c>
      <c r="Q187" s="280">
        <v>10</v>
      </c>
      <c r="R187" s="380">
        <v>2020003630086</v>
      </c>
      <c r="S187" s="418" t="s">
        <v>523</v>
      </c>
      <c r="T187" s="381"/>
      <c r="U187" s="381"/>
      <c r="V187" s="381"/>
      <c r="W187" s="381"/>
      <c r="X187" s="381"/>
      <c r="Y187" s="381"/>
      <c r="Z187" s="381"/>
      <c r="AA187" s="381"/>
      <c r="AB187" s="381"/>
      <c r="AC187" s="381"/>
      <c r="AD187" s="381"/>
      <c r="AE187" s="381"/>
      <c r="AF187" s="381"/>
      <c r="AG187" s="381"/>
      <c r="AH187" s="381"/>
      <c r="AI187" s="381"/>
      <c r="AJ187" s="381"/>
      <c r="AK187" s="381"/>
      <c r="AL187" s="381">
        <f>909464416+1392144870.28-1940742620.28</f>
        <v>360866665.99999976</v>
      </c>
      <c r="AM187" s="381">
        <v>360866666</v>
      </c>
      <c r="AN187" s="381">
        <v>236336666</v>
      </c>
      <c r="AO187" s="381"/>
      <c r="AP187" s="381"/>
      <c r="AQ187" s="381"/>
      <c r="AR187" s="381"/>
      <c r="AS187" s="381"/>
      <c r="AT187" s="381"/>
      <c r="AU187" s="381">
        <f t="shared" si="11"/>
        <v>360866665.99999976</v>
      </c>
      <c r="AV187" s="381">
        <f t="shared" si="9"/>
        <v>360866666</v>
      </c>
      <c r="AW187" s="381">
        <f t="shared" si="10"/>
        <v>236336666</v>
      </c>
      <c r="AX187" s="461" t="s">
        <v>437</v>
      </c>
    </row>
    <row r="188" spans="1:129" s="331" customFormat="1" ht="63.75" x14ac:dyDescent="0.25">
      <c r="A188" s="257">
        <v>312</v>
      </c>
      <c r="B188" s="376" t="s">
        <v>431</v>
      </c>
      <c r="C188" s="257">
        <v>3</v>
      </c>
      <c r="D188" s="376" t="s">
        <v>146</v>
      </c>
      <c r="E188" s="257">
        <v>2</v>
      </c>
      <c r="F188" s="376" t="s">
        <v>455</v>
      </c>
      <c r="G188" s="257">
        <v>32</v>
      </c>
      <c r="H188" s="376" t="s">
        <v>160</v>
      </c>
      <c r="I188" s="257">
        <v>3202</v>
      </c>
      <c r="J188" s="376" t="s">
        <v>521</v>
      </c>
      <c r="K188" s="257">
        <v>3202043</v>
      </c>
      <c r="L188" s="376" t="s">
        <v>525</v>
      </c>
      <c r="M188" s="263">
        <v>320204300</v>
      </c>
      <c r="N188" s="388" t="s">
        <v>526</v>
      </c>
      <c r="O188" s="378" t="s">
        <v>26</v>
      </c>
      <c r="P188" s="307">
        <v>1</v>
      </c>
      <c r="Q188" s="307">
        <v>0.25</v>
      </c>
      <c r="R188" s="380">
        <v>2020003630086</v>
      </c>
      <c r="S188" s="418" t="s">
        <v>523</v>
      </c>
      <c r="T188" s="381"/>
      <c r="U188" s="381"/>
      <c r="V188" s="381"/>
      <c r="W188" s="381"/>
      <c r="X188" s="381"/>
      <c r="Y188" s="381"/>
      <c r="Z188" s="381"/>
      <c r="AA188" s="381"/>
      <c r="AB188" s="381"/>
      <c r="AC188" s="381"/>
      <c r="AD188" s="381"/>
      <c r="AE188" s="381"/>
      <c r="AF188" s="381"/>
      <c r="AG188" s="381"/>
      <c r="AH188" s="381"/>
      <c r="AI188" s="381"/>
      <c r="AJ188" s="381"/>
      <c r="AK188" s="381"/>
      <c r="AL188" s="381">
        <f>389770464+464048290.09-818668754.09</f>
        <v>35149999.999999881</v>
      </c>
      <c r="AM188" s="381">
        <v>35150000</v>
      </c>
      <c r="AN188" s="381">
        <v>35150000</v>
      </c>
      <c r="AO188" s="381"/>
      <c r="AP188" s="381"/>
      <c r="AQ188" s="381"/>
      <c r="AR188" s="381"/>
      <c r="AS188" s="381"/>
      <c r="AT188" s="381"/>
      <c r="AU188" s="381">
        <f t="shared" si="11"/>
        <v>35149999.999999881</v>
      </c>
      <c r="AV188" s="381">
        <f t="shared" ref="AV188:AV215" si="12">SUM(U188,X188,AA188,AD188,AG188,AJ188,AM188,AP188,AS188)</f>
        <v>35150000</v>
      </c>
      <c r="AW188" s="381">
        <f t="shared" ref="AW188:AW215" si="13">SUM(V188,Y188,AB188,AE188,AH188,AK188,AN188,AQ188,AT188)</f>
        <v>35150000</v>
      </c>
      <c r="AX188" s="461" t="s">
        <v>437</v>
      </c>
    </row>
    <row r="189" spans="1:129" s="332" customFormat="1" ht="63.75" x14ac:dyDescent="0.25">
      <c r="A189" s="259">
        <v>312</v>
      </c>
      <c r="B189" s="325" t="s">
        <v>431</v>
      </c>
      <c r="C189" s="306"/>
      <c r="D189" s="386"/>
      <c r="E189" s="306">
        <v>2</v>
      </c>
      <c r="F189" s="386" t="s">
        <v>455</v>
      </c>
      <c r="G189" s="272">
        <v>32</v>
      </c>
      <c r="H189" s="333" t="s">
        <v>160</v>
      </c>
      <c r="I189" s="305" t="s">
        <v>527</v>
      </c>
      <c r="J189" s="333" t="s">
        <v>521</v>
      </c>
      <c r="K189" s="313" t="s">
        <v>528</v>
      </c>
      <c r="L189" s="333" t="s">
        <v>522</v>
      </c>
      <c r="M189" s="266" t="s">
        <v>529</v>
      </c>
      <c r="N189" s="333" t="s">
        <v>530</v>
      </c>
      <c r="O189" s="305" t="s">
        <v>67</v>
      </c>
      <c r="P189" s="305">
        <v>80</v>
      </c>
      <c r="Q189" s="266">
        <v>0</v>
      </c>
      <c r="R189" s="281">
        <v>2024003630091</v>
      </c>
      <c r="S189" s="464" t="s">
        <v>531</v>
      </c>
      <c r="T189" s="328"/>
      <c r="U189" s="328"/>
      <c r="V189" s="328"/>
      <c r="W189" s="328"/>
      <c r="X189" s="328"/>
      <c r="Y189" s="328"/>
      <c r="Z189" s="328"/>
      <c r="AA189" s="328"/>
      <c r="AB189" s="328"/>
      <c r="AC189" s="328"/>
      <c r="AD189" s="328"/>
      <c r="AE189" s="328"/>
      <c r="AF189" s="328"/>
      <c r="AG189" s="328"/>
      <c r="AH189" s="328"/>
      <c r="AI189" s="328"/>
      <c r="AJ189" s="328"/>
      <c r="AK189" s="328"/>
      <c r="AL189" s="328">
        <v>348597750</v>
      </c>
      <c r="AM189" s="328">
        <v>0</v>
      </c>
      <c r="AN189" s="328">
        <v>0</v>
      </c>
      <c r="AO189" s="328"/>
      <c r="AP189" s="328"/>
      <c r="AQ189" s="328"/>
      <c r="AR189" s="328"/>
      <c r="AS189" s="328"/>
      <c r="AT189" s="328"/>
      <c r="AU189" s="328">
        <f t="shared" si="11"/>
        <v>348597750</v>
      </c>
      <c r="AV189" s="328">
        <f t="shared" si="12"/>
        <v>0</v>
      </c>
      <c r="AW189" s="328">
        <f t="shared" si="13"/>
        <v>0</v>
      </c>
      <c r="AX189" s="462" t="s">
        <v>437</v>
      </c>
      <c r="AY189" s="331"/>
      <c r="AZ189" s="331"/>
      <c r="BA189" s="331"/>
      <c r="BB189" s="331"/>
      <c r="BC189" s="331"/>
      <c r="BD189" s="331"/>
      <c r="BE189" s="331"/>
      <c r="BF189" s="331"/>
      <c r="BG189" s="331"/>
      <c r="BH189" s="331"/>
      <c r="BI189" s="331"/>
      <c r="BJ189" s="331"/>
      <c r="BK189" s="331"/>
      <c r="BL189" s="331"/>
      <c r="BM189" s="331"/>
      <c r="BN189" s="331"/>
      <c r="BO189" s="331"/>
      <c r="BP189" s="331"/>
      <c r="BQ189" s="331"/>
      <c r="BR189" s="331"/>
      <c r="BS189" s="331"/>
      <c r="BT189" s="331"/>
      <c r="BU189" s="331"/>
      <c r="BV189" s="331"/>
      <c r="BW189" s="331"/>
      <c r="BX189" s="331"/>
      <c r="BY189" s="331"/>
      <c r="BZ189" s="331"/>
      <c r="CA189" s="331"/>
      <c r="CB189" s="331"/>
      <c r="CC189" s="331"/>
      <c r="CD189" s="331"/>
      <c r="CE189" s="331"/>
      <c r="CF189" s="331"/>
      <c r="CG189" s="331"/>
      <c r="CH189" s="331"/>
      <c r="CI189" s="331"/>
      <c r="CJ189" s="331"/>
      <c r="CK189" s="331"/>
      <c r="CL189" s="331"/>
      <c r="CM189" s="331"/>
      <c r="CN189" s="331"/>
      <c r="CO189" s="331"/>
      <c r="CP189" s="331"/>
      <c r="CQ189" s="331"/>
      <c r="CR189" s="331"/>
      <c r="CS189" s="331"/>
      <c r="CT189" s="331"/>
      <c r="CU189" s="331"/>
      <c r="CV189" s="331"/>
      <c r="CW189" s="331"/>
      <c r="CX189" s="331"/>
      <c r="CY189" s="331"/>
      <c r="CZ189" s="331"/>
      <c r="DA189" s="331"/>
      <c r="DB189" s="331"/>
      <c r="DC189" s="331"/>
      <c r="DD189" s="331"/>
      <c r="DE189" s="331"/>
      <c r="DF189" s="331"/>
      <c r="DG189" s="331"/>
      <c r="DH189" s="331"/>
      <c r="DI189" s="331"/>
      <c r="DJ189" s="331"/>
      <c r="DK189" s="331"/>
      <c r="DL189" s="331"/>
      <c r="DM189" s="331"/>
      <c r="DN189" s="331"/>
      <c r="DO189" s="331"/>
      <c r="DP189" s="331"/>
      <c r="DQ189" s="331"/>
      <c r="DR189" s="331"/>
      <c r="DS189" s="331"/>
      <c r="DT189" s="331"/>
      <c r="DU189" s="331"/>
      <c r="DV189" s="331"/>
      <c r="DW189" s="331"/>
      <c r="DX189" s="331"/>
      <c r="DY189" s="331"/>
    </row>
    <row r="190" spans="1:129" s="332" customFormat="1" ht="63.75" x14ac:dyDescent="0.25">
      <c r="A190" s="259">
        <v>312</v>
      </c>
      <c r="B190" s="325" t="s">
        <v>431</v>
      </c>
      <c r="C190" s="306"/>
      <c r="D190" s="386"/>
      <c r="E190" s="306">
        <v>2</v>
      </c>
      <c r="F190" s="386" t="s">
        <v>455</v>
      </c>
      <c r="G190" s="272">
        <v>32</v>
      </c>
      <c r="H190" s="333" t="s">
        <v>160</v>
      </c>
      <c r="I190" s="305" t="s">
        <v>527</v>
      </c>
      <c r="J190" s="333" t="s">
        <v>521</v>
      </c>
      <c r="K190" s="305" t="s">
        <v>532</v>
      </c>
      <c r="L190" s="333" t="s">
        <v>533</v>
      </c>
      <c r="M190" s="267">
        <v>320204300</v>
      </c>
      <c r="N190" s="333" t="s">
        <v>526</v>
      </c>
      <c r="O190" s="305" t="s">
        <v>67</v>
      </c>
      <c r="P190" s="305">
        <v>200</v>
      </c>
      <c r="Q190" s="266">
        <v>0</v>
      </c>
      <c r="R190" s="281">
        <v>2024003630091</v>
      </c>
      <c r="S190" s="464" t="s">
        <v>531</v>
      </c>
      <c r="T190" s="328"/>
      <c r="U190" s="328"/>
      <c r="V190" s="328"/>
      <c r="W190" s="328"/>
      <c r="X190" s="328"/>
      <c r="Y190" s="328"/>
      <c r="Z190" s="328"/>
      <c r="AA190" s="328"/>
      <c r="AB190" s="328"/>
      <c r="AC190" s="328"/>
      <c r="AD190" s="328"/>
      <c r="AE190" s="328"/>
      <c r="AF190" s="328"/>
      <c r="AG190" s="328"/>
      <c r="AH190" s="328"/>
      <c r="AI190" s="328"/>
      <c r="AJ190" s="328"/>
      <c r="AK190" s="328"/>
      <c r="AL190" s="328">
        <v>818668754.09000003</v>
      </c>
      <c r="AM190" s="328">
        <v>57600000</v>
      </c>
      <c r="AN190" s="328">
        <v>30800000</v>
      </c>
      <c r="AO190" s="328"/>
      <c r="AP190" s="328"/>
      <c r="AQ190" s="328"/>
      <c r="AR190" s="328"/>
      <c r="AS190" s="328"/>
      <c r="AT190" s="328"/>
      <c r="AU190" s="328">
        <f t="shared" si="11"/>
        <v>818668754.09000003</v>
      </c>
      <c r="AV190" s="328">
        <f t="shared" si="12"/>
        <v>57600000</v>
      </c>
      <c r="AW190" s="328">
        <f t="shared" si="13"/>
        <v>30800000</v>
      </c>
      <c r="AX190" s="462" t="s">
        <v>437</v>
      </c>
      <c r="AY190" s="331"/>
      <c r="AZ190" s="331"/>
      <c r="BA190" s="331"/>
      <c r="BB190" s="331"/>
      <c r="BC190" s="331"/>
      <c r="BD190" s="331"/>
      <c r="BE190" s="331"/>
      <c r="BF190" s="331"/>
      <c r="BG190" s="331"/>
      <c r="BH190" s="331"/>
      <c r="BI190" s="331"/>
      <c r="BJ190" s="331"/>
      <c r="BK190" s="331"/>
      <c r="BL190" s="331"/>
      <c r="BM190" s="331"/>
      <c r="BN190" s="331"/>
      <c r="BO190" s="331"/>
      <c r="BP190" s="331"/>
      <c r="BQ190" s="331"/>
      <c r="BR190" s="331"/>
      <c r="BS190" s="331"/>
      <c r="BT190" s="331"/>
      <c r="BU190" s="331"/>
      <c r="BV190" s="331"/>
      <c r="BW190" s="331"/>
      <c r="BX190" s="331"/>
      <c r="BY190" s="331"/>
      <c r="BZ190" s="331"/>
      <c r="CA190" s="331"/>
      <c r="CB190" s="331"/>
      <c r="CC190" s="331"/>
      <c r="CD190" s="331"/>
      <c r="CE190" s="331"/>
      <c r="CF190" s="331"/>
      <c r="CG190" s="331"/>
      <c r="CH190" s="331"/>
      <c r="CI190" s="331"/>
      <c r="CJ190" s="331"/>
      <c r="CK190" s="331"/>
      <c r="CL190" s="331"/>
      <c r="CM190" s="331"/>
      <c r="CN190" s="331"/>
      <c r="CO190" s="331"/>
      <c r="CP190" s="331"/>
      <c r="CQ190" s="331"/>
      <c r="CR190" s="331"/>
      <c r="CS190" s="331"/>
      <c r="CT190" s="331"/>
      <c r="CU190" s="331"/>
      <c r="CV190" s="331"/>
      <c r="CW190" s="331"/>
      <c r="CX190" s="331"/>
      <c r="CY190" s="331"/>
      <c r="CZ190" s="331"/>
      <c r="DA190" s="331"/>
      <c r="DB190" s="331"/>
      <c r="DC190" s="331"/>
      <c r="DD190" s="331"/>
      <c r="DE190" s="331"/>
      <c r="DF190" s="331"/>
      <c r="DG190" s="331"/>
      <c r="DH190" s="331"/>
      <c r="DI190" s="331"/>
      <c r="DJ190" s="331"/>
      <c r="DK190" s="331"/>
      <c r="DL190" s="331"/>
      <c r="DM190" s="331"/>
      <c r="DN190" s="331"/>
      <c r="DO190" s="331"/>
      <c r="DP190" s="331"/>
      <c r="DQ190" s="331"/>
      <c r="DR190" s="331"/>
      <c r="DS190" s="331"/>
      <c r="DT190" s="331"/>
      <c r="DU190" s="331"/>
      <c r="DV190" s="331"/>
      <c r="DW190" s="331"/>
      <c r="DX190" s="331"/>
      <c r="DY190" s="331"/>
    </row>
    <row r="191" spans="1:129" s="332" customFormat="1" ht="89.25" x14ac:dyDescent="0.25">
      <c r="A191" s="259">
        <v>312</v>
      </c>
      <c r="B191" s="325" t="s">
        <v>431</v>
      </c>
      <c r="C191" s="306"/>
      <c r="D191" s="386"/>
      <c r="E191" s="306">
        <v>2</v>
      </c>
      <c r="F191" s="386" t="s">
        <v>455</v>
      </c>
      <c r="G191" s="305">
        <v>32</v>
      </c>
      <c r="H191" s="333" t="s">
        <v>160</v>
      </c>
      <c r="I191" s="305">
        <v>3202</v>
      </c>
      <c r="J191" s="333" t="s">
        <v>521</v>
      </c>
      <c r="K191" s="305" t="s">
        <v>534</v>
      </c>
      <c r="L191" s="333" t="s">
        <v>535</v>
      </c>
      <c r="M191" s="267" t="s">
        <v>536</v>
      </c>
      <c r="N191" s="420" t="s">
        <v>537</v>
      </c>
      <c r="O191" s="305" t="s">
        <v>26</v>
      </c>
      <c r="P191" s="303">
        <v>2970</v>
      </c>
      <c r="Q191" s="334">
        <v>1352</v>
      </c>
      <c r="R191" s="281">
        <v>2024003630091</v>
      </c>
      <c r="S191" s="464" t="s">
        <v>531</v>
      </c>
      <c r="T191" s="328"/>
      <c r="U191" s="328"/>
      <c r="V191" s="328"/>
      <c r="W191" s="328"/>
      <c r="X191" s="328"/>
      <c r="Y191" s="328"/>
      <c r="Z191" s="328"/>
      <c r="AA191" s="328"/>
      <c r="AB191" s="328"/>
      <c r="AC191" s="328"/>
      <c r="AD191" s="328"/>
      <c r="AE191" s="328"/>
      <c r="AF191" s="328"/>
      <c r="AG191" s="328"/>
      <c r="AH191" s="328"/>
      <c r="AI191" s="328"/>
      <c r="AJ191" s="328"/>
      <c r="AK191" s="328"/>
      <c r="AL191" s="328">
        <v>1392144870.28</v>
      </c>
      <c r="AM191" s="328">
        <v>197223332</v>
      </c>
      <c r="AN191" s="328">
        <v>87100000</v>
      </c>
      <c r="AO191" s="328"/>
      <c r="AP191" s="328"/>
      <c r="AQ191" s="328"/>
      <c r="AR191" s="328"/>
      <c r="AS191" s="328"/>
      <c r="AT191" s="328"/>
      <c r="AU191" s="328">
        <f t="shared" si="11"/>
        <v>1392144870.28</v>
      </c>
      <c r="AV191" s="328">
        <f t="shared" si="12"/>
        <v>197223332</v>
      </c>
      <c r="AW191" s="328">
        <f t="shared" si="13"/>
        <v>87100000</v>
      </c>
      <c r="AX191" s="462" t="s">
        <v>437</v>
      </c>
      <c r="AY191" s="331"/>
      <c r="AZ191" s="331"/>
      <c r="BA191" s="331"/>
      <c r="BB191" s="331"/>
      <c r="BC191" s="331"/>
      <c r="BD191" s="331"/>
      <c r="BE191" s="331"/>
      <c r="BF191" s="331"/>
      <c r="BG191" s="331"/>
      <c r="BH191" s="331"/>
      <c r="BI191" s="331"/>
      <c r="BJ191" s="331"/>
      <c r="BK191" s="331"/>
      <c r="BL191" s="331"/>
      <c r="BM191" s="331"/>
      <c r="BN191" s="331"/>
      <c r="BO191" s="331"/>
      <c r="BP191" s="331"/>
      <c r="BQ191" s="331"/>
      <c r="BR191" s="331"/>
      <c r="BS191" s="331"/>
      <c r="BT191" s="331"/>
      <c r="BU191" s="331"/>
      <c r="BV191" s="331"/>
      <c r="BW191" s="331"/>
      <c r="BX191" s="331"/>
      <c r="BY191" s="331"/>
      <c r="BZ191" s="331"/>
      <c r="CA191" s="331"/>
      <c r="CB191" s="331"/>
      <c r="CC191" s="331"/>
      <c r="CD191" s="331"/>
      <c r="CE191" s="331"/>
      <c r="CF191" s="331"/>
      <c r="CG191" s="331"/>
      <c r="CH191" s="331"/>
      <c r="CI191" s="331"/>
      <c r="CJ191" s="331"/>
      <c r="CK191" s="331"/>
      <c r="CL191" s="331"/>
      <c r="CM191" s="331"/>
      <c r="CN191" s="331"/>
      <c r="CO191" s="331"/>
      <c r="CP191" s="331"/>
      <c r="CQ191" s="331"/>
      <c r="CR191" s="331"/>
      <c r="CS191" s="331"/>
      <c r="CT191" s="331"/>
      <c r="CU191" s="331"/>
      <c r="CV191" s="331"/>
      <c r="CW191" s="331"/>
      <c r="CX191" s="331"/>
      <c r="CY191" s="331"/>
      <c r="CZ191" s="331"/>
      <c r="DA191" s="331"/>
      <c r="DB191" s="331"/>
      <c r="DC191" s="331"/>
      <c r="DD191" s="331"/>
      <c r="DE191" s="331"/>
      <c r="DF191" s="331"/>
      <c r="DG191" s="331"/>
      <c r="DH191" s="331"/>
      <c r="DI191" s="331"/>
      <c r="DJ191" s="331"/>
      <c r="DK191" s="331"/>
      <c r="DL191" s="331"/>
      <c r="DM191" s="331"/>
      <c r="DN191" s="331"/>
      <c r="DO191" s="331"/>
      <c r="DP191" s="331"/>
      <c r="DQ191" s="331"/>
      <c r="DR191" s="331"/>
      <c r="DS191" s="331"/>
      <c r="DT191" s="331"/>
      <c r="DU191" s="331"/>
      <c r="DV191" s="331"/>
      <c r="DW191" s="331"/>
      <c r="DX191" s="331"/>
      <c r="DY191" s="331"/>
    </row>
    <row r="192" spans="1:129" s="332" customFormat="1" ht="63.75" x14ac:dyDescent="0.25">
      <c r="A192" s="259">
        <v>312</v>
      </c>
      <c r="B192" s="325" t="s">
        <v>431</v>
      </c>
      <c r="C192" s="306"/>
      <c r="D192" s="386"/>
      <c r="E192" s="306">
        <v>2</v>
      </c>
      <c r="F192" s="386" t="s">
        <v>455</v>
      </c>
      <c r="G192" s="272">
        <v>32</v>
      </c>
      <c r="H192" s="333" t="s">
        <v>160</v>
      </c>
      <c r="I192" s="305" t="s">
        <v>527</v>
      </c>
      <c r="J192" s="333" t="s">
        <v>521</v>
      </c>
      <c r="K192" s="305">
        <v>3202005</v>
      </c>
      <c r="L192" s="333" t="s">
        <v>538</v>
      </c>
      <c r="M192" s="266">
        <v>320200500</v>
      </c>
      <c r="N192" s="333" t="s">
        <v>539</v>
      </c>
      <c r="O192" s="305" t="s">
        <v>67</v>
      </c>
      <c r="P192" s="305">
        <v>169</v>
      </c>
      <c r="Q192" s="266">
        <v>0</v>
      </c>
      <c r="R192" s="281">
        <v>2024003630091</v>
      </c>
      <c r="S192" s="464" t="s">
        <v>531</v>
      </c>
      <c r="T192" s="328"/>
      <c r="U192" s="328"/>
      <c r="V192" s="328"/>
      <c r="W192" s="328"/>
      <c r="X192" s="328"/>
      <c r="Y192" s="328"/>
      <c r="Z192" s="328"/>
      <c r="AA192" s="328"/>
      <c r="AB192" s="328"/>
      <c r="AC192" s="328"/>
      <c r="AD192" s="328"/>
      <c r="AE192" s="328"/>
      <c r="AF192" s="328"/>
      <c r="AG192" s="328"/>
      <c r="AH192" s="328"/>
      <c r="AI192" s="328"/>
      <c r="AJ192" s="328"/>
      <c r="AK192" s="328"/>
      <c r="AL192" s="328">
        <v>90000000</v>
      </c>
      <c r="AM192" s="328"/>
      <c r="AN192" s="328"/>
      <c r="AO192" s="328"/>
      <c r="AP192" s="328"/>
      <c r="AQ192" s="328"/>
      <c r="AR192" s="328"/>
      <c r="AS192" s="328"/>
      <c r="AT192" s="328"/>
      <c r="AU192" s="328">
        <f t="shared" si="11"/>
        <v>90000000</v>
      </c>
      <c r="AV192" s="328">
        <f t="shared" si="12"/>
        <v>0</v>
      </c>
      <c r="AW192" s="328">
        <f t="shared" si="13"/>
        <v>0</v>
      </c>
      <c r="AX192" s="462" t="s">
        <v>437</v>
      </c>
      <c r="AY192" s="331"/>
      <c r="AZ192" s="331"/>
      <c r="BA192" s="331"/>
      <c r="BB192" s="331"/>
      <c r="BC192" s="331"/>
      <c r="BD192" s="331"/>
      <c r="BE192" s="331"/>
      <c r="BF192" s="331"/>
      <c r="BG192" s="331"/>
      <c r="BH192" s="331"/>
      <c r="BI192" s="331"/>
      <c r="BJ192" s="331"/>
      <c r="BK192" s="331"/>
      <c r="BL192" s="331"/>
      <c r="BM192" s="331"/>
      <c r="BN192" s="331"/>
      <c r="BO192" s="331"/>
      <c r="BP192" s="331"/>
      <c r="BQ192" s="331"/>
      <c r="BR192" s="331"/>
      <c r="BS192" s="331"/>
      <c r="BT192" s="331"/>
      <c r="BU192" s="331"/>
      <c r="BV192" s="331"/>
      <c r="BW192" s="331"/>
      <c r="BX192" s="331"/>
      <c r="BY192" s="331"/>
      <c r="BZ192" s="331"/>
      <c r="CA192" s="331"/>
      <c r="CB192" s="331"/>
      <c r="CC192" s="331"/>
      <c r="CD192" s="331"/>
      <c r="CE192" s="331"/>
      <c r="CF192" s="331"/>
      <c r="CG192" s="331"/>
      <c r="CH192" s="331"/>
      <c r="CI192" s="331"/>
      <c r="CJ192" s="331"/>
      <c r="CK192" s="331"/>
      <c r="CL192" s="331"/>
      <c r="CM192" s="331"/>
      <c r="CN192" s="331"/>
      <c r="CO192" s="331"/>
      <c r="CP192" s="331"/>
      <c r="CQ192" s="331"/>
      <c r="CR192" s="331"/>
      <c r="CS192" s="331"/>
      <c r="CT192" s="331"/>
      <c r="CU192" s="331"/>
      <c r="CV192" s="331"/>
      <c r="CW192" s="331"/>
      <c r="CX192" s="331"/>
      <c r="CY192" s="331"/>
      <c r="CZ192" s="331"/>
      <c r="DA192" s="331"/>
      <c r="DB192" s="331"/>
      <c r="DC192" s="331"/>
      <c r="DD192" s="331"/>
      <c r="DE192" s="331"/>
      <c r="DF192" s="331"/>
      <c r="DG192" s="331"/>
      <c r="DH192" s="331"/>
      <c r="DI192" s="331"/>
      <c r="DJ192" s="331"/>
      <c r="DK192" s="331"/>
      <c r="DL192" s="331"/>
      <c r="DM192" s="331"/>
      <c r="DN192" s="331"/>
      <c r="DO192" s="331"/>
      <c r="DP192" s="331"/>
      <c r="DQ192" s="331"/>
      <c r="DR192" s="331"/>
      <c r="DS192" s="331"/>
      <c r="DT192" s="331"/>
      <c r="DU192" s="331"/>
      <c r="DV192" s="331"/>
      <c r="DW192" s="331"/>
      <c r="DX192" s="331"/>
      <c r="DY192" s="331"/>
    </row>
    <row r="193" spans="1:129" s="332" customFormat="1" ht="63.75" x14ac:dyDescent="0.25">
      <c r="A193" s="259">
        <v>312</v>
      </c>
      <c r="B193" s="325" t="s">
        <v>431</v>
      </c>
      <c r="C193" s="306"/>
      <c r="D193" s="386"/>
      <c r="E193" s="306">
        <v>2</v>
      </c>
      <c r="F193" s="386" t="s">
        <v>455</v>
      </c>
      <c r="G193" s="272">
        <v>32</v>
      </c>
      <c r="H193" s="333" t="s">
        <v>160</v>
      </c>
      <c r="I193" s="305" t="s">
        <v>527</v>
      </c>
      <c r="J193" s="333" t="s">
        <v>521</v>
      </c>
      <c r="K193" s="305" t="s">
        <v>540</v>
      </c>
      <c r="L193" s="333" t="s">
        <v>541</v>
      </c>
      <c r="M193" s="266">
        <v>320200601</v>
      </c>
      <c r="N193" s="333" t="s">
        <v>542</v>
      </c>
      <c r="O193" s="305" t="s">
        <v>67</v>
      </c>
      <c r="P193" s="272">
        <v>115</v>
      </c>
      <c r="Q193" s="267">
        <v>0</v>
      </c>
      <c r="R193" s="281">
        <v>2024003630091</v>
      </c>
      <c r="S193" s="464" t="s">
        <v>531</v>
      </c>
      <c r="T193" s="328"/>
      <c r="U193" s="328"/>
      <c r="V193" s="328"/>
      <c r="W193" s="328"/>
      <c r="X193" s="328"/>
      <c r="Y193" s="328"/>
      <c r="Z193" s="328"/>
      <c r="AA193" s="328"/>
      <c r="AB193" s="328"/>
      <c r="AC193" s="328"/>
      <c r="AD193" s="328"/>
      <c r="AE193" s="328"/>
      <c r="AF193" s="328"/>
      <c r="AG193" s="328"/>
      <c r="AH193" s="328"/>
      <c r="AI193" s="328"/>
      <c r="AJ193" s="328"/>
      <c r="AK193" s="328"/>
      <c r="AL193" s="328">
        <v>202500000</v>
      </c>
      <c r="AM193" s="328"/>
      <c r="AN193" s="328"/>
      <c r="AO193" s="328"/>
      <c r="AP193" s="328"/>
      <c r="AQ193" s="328"/>
      <c r="AR193" s="328"/>
      <c r="AS193" s="328"/>
      <c r="AT193" s="328"/>
      <c r="AU193" s="328">
        <f t="shared" si="11"/>
        <v>202500000</v>
      </c>
      <c r="AV193" s="328">
        <f t="shared" si="12"/>
        <v>0</v>
      </c>
      <c r="AW193" s="328">
        <f t="shared" si="13"/>
        <v>0</v>
      </c>
      <c r="AX193" s="462" t="s">
        <v>437</v>
      </c>
      <c r="AY193" s="331"/>
      <c r="AZ193" s="331"/>
      <c r="BA193" s="331"/>
      <c r="BB193" s="331"/>
      <c r="BC193" s="331"/>
      <c r="BD193" s="331"/>
      <c r="BE193" s="331"/>
      <c r="BF193" s="331"/>
      <c r="BG193" s="331"/>
      <c r="BH193" s="331"/>
      <c r="BI193" s="331"/>
      <c r="BJ193" s="331"/>
      <c r="BK193" s="331"/>
      <c r="BL193" s="331"/>
      <c r="BM193" s="331"/>
      <c r="BN193" s="331"/>
      <c r="BO193" s="331"/>
      <c r="BP193" s="331"/>
      <c r="BQ193" s="331"/>
      <c r="BR193" s="331"/>
      <c r="BS193" s="331"/>
      <c r="BT193" s="331"/>
      <c r="BU193" s="331"/>
      <c r="BV193" s="331"/>
      <c r="BW193" s="331"/>
      <c r="BX193" s="331"/>
      <c r="BY193" s="331"/>
      <c r="BZ193" s="331"/>
      <c r="CA193" s="331"/>
      <c r="CB193" s="331"/>
      <c r="CC193" s="331"/>
      <c r="CD193" s="331"/>
      <c r="CE193" s="331"/>
      <c r="CF193" s="331"/>
      <c r="CG193" s="331"/>
      <c r="CH193" s="331"/>
      <c r="CI193" s="331"/>
      <c r="CJ193" s="331"/>
      <c r="CK193" s="331"/>
      <c r="CL193" s="331"/>
      <c r="CM193" s="331"/>
      <c r="CN193" s="331"/>
      <c r="CO193" s="331"/>
      <c r="CP193" s="331"/>
      <c r="CQ193" s="331"/>
      <c r="CR193" s="331"/>
      <c r="CS193" s="331"/>
      <c r="CT193" s="331"/>
      <c r="CU193" s="331"/>
      <c r="CV193" s="331"/>
      <c r="CW193" s="331"/>
      <c r="CX193" s="331"/>
      <c r="CY193" s="331"/>
      <c r="CZ193" s="331"/>
      <c r="DA193" s="331"/>
      <c r="DB193" s="331"/>
      <c r="DC193" s="331"/>
      <c r="DD193" s="331"/>
      <c r="DE193" s="331"/>
      <c r="DF193" s="331"/>
      <c r="DG193" s="331"/>
      <c r="DH193" s="331"/>
      <c r="DI193" s="331"/>
      <c r="DJ193" s="331"/>
      <c r="DK193" s="331"/>
      <c r="DL193" s="331"/>
      <c r="DM193" s="331"/>
      <c r="DN193" s="331"/>
      <c r="DO193" s="331"/>
      <c r="DP193" s="331"/>
      <c r="DQ193" s="331"/>
      <c r="DR193" s="331"/>
      <c r="DS193" s="331"/>
      <c r="DT193" s="331"/>
      <c r="DU193" s="331"/>
      <c r="DV193" s="331"/>
      <c r="DW193" s="331"/>
      <c r="DX193" s="331"/>
      <c r="DY193" s="331"/>
    </row>
    <row r="194" spans="1:129" s="331" customFormat="1" ht="63.75" x14ac:dyDescent="0.25">
      <c r="A194" s="257">
        <v>312</v>
      </c>
      <c r="B194" s="376" t="s">
        <v>431</v>
      </c>
      <c r="C194" s="257">
        <v>3</v>
      </c>
      <c r="D194" s="376" t="s">
        <v>146</v>
      </c>
      <c r="E194" s="257">
        <v>2</v>
      </c>
      <c r="F194" s="376" t="s">
        <v>455</v>
      </c>
      <c r="G194" s="257">
        <v>32</v>
      </c>
      <c r="H194" s="376" t="s">
        <v>160</v>
      </c>
      <c r="I194" s="257">
        <v>3202</v>
      </c>
      <c r="J194" s="376" t="s">
        <v>521</v>
      </c>
      <c r="K194" s="257">
        <v>3202014</v>
      </c>
      <c r="L194" s="376" t="s">
        <v>543</v>
      </c>
      <c r="M194" s="257">
        <v>320201402</v>
      </c>
      <c r="N194" s="376" t="s">
        <v>544</v>
      </c>
      <c r="O194" s="378" t="s">
        <v>26</v>
      </c>
      <c r="P194" s="307">
        <v>1</v>
      </c>
      <c r="Q194" s="307">
        <v>0.5</v>
      </c>
      <c r="R194" s="380">
        <v>2020003630028</v>
      </c>
      <c r="S194" s="418" t="s">
        <v>545</v>
      </c>
      <c r="T194" s="381"/>
      <c r="U194" s="381"/>
      <c r="V194" s="381"/>
      <c r="W194" s="381"/>
      <c r="X194" s="381"/>
      <c r="Y194" s="381"/>
      <c r="Z194" s="381"/>
      <c r="AA194" s="381"/>
      <c r="AB194" s="381"/>
      <c r="AC194" s="381"/>
      <c r="AD194" s="381"/>
      <c r="AE194" s="381"/>
      <c r="AF194" s="381"/>
      <c r="AG194" s="381"/>
      <c r="AH194" s="381"/>
      <c r="AI194" s="381"/>
      <c r="AJ194" s="381"/>
      <c r="AK194" s="381"/>
      <c r="AL194" s="381">
        <f>76000000-19433334</f>
        <v>56566666</v>
      </c>
      <c r="AM194" s="381">
        <v>56566666</v>
      </c>
      <c r="AN194" s="381">
        <v>56566666</v>
      </c>
      <c r="AO194" s="381"/>
      <c r="AP194" s="381"/>
      <c r="AQ194" s="381"/>
      <c r="AR194" s="381"/>
      <c r="AS194" s="381"/>
      <c r="AT194" s="381"/>
      <c r="AU194" s="381">
        <f t="shared" si="11"/>
        <v>56566666</v>
      </c>
      <c r="AV194" s="381">
        <f t="shared" si="12"/>
        <v>56566666</v>
      </c>
      <c r="AW194" s="381">
        <f t="shared" si="13"/>
        <v>56566666</v>
      </c>
      <c r="AX194" s="461" t="s">
        <v>437</v>
      </c>
    </row>
    <row r="195" spans="1:129" s="331" customFormat="1" ht="63.75" x14ac:dyDescent="0.25">
      <c r="A195" s="257">
        <v>312</v>
      </c>
      <c r="B195" s="376" t="s">
        <v>431</v>
      </c>
      <c r="C195" s="257">
        <v>3</v>
      </c>
      <c r="D195" s="376" t="s">
        <v>146</v>
      </c>
      <c r="E195" s="257">
        <v>2</v>
      </c>
      <c r="F195" s="376" t="s">
        <v>455</v>
      </c>
      <c r="G195" s="257">
        <v>32</v>
      </c>
      <c r="H195" s="376" t="s">
        <v>160</v>
      </c>
      <c r="I195" s="257">
        <v>3202</v>
      </c>
      <c r="J195" s="376" t="s">
        <v>521</v>
      </c>
      <c r="K195" s="257">
        <v>3202014</v>
      </c>
      <c r="L195" s="376" t="s">
        <v>543</v>
      </c>
      <c r="M195" s="257">
        <v>320201402</v>
      </c>
      <c r="N195" s="376" t="s">
        <v>544</v>
      </c>
      <c r="O195" s="382" t="s">
        <v>67</v>
      </c>
      <c r="P195" s="307">
        <v>1</v>
      </c>
      <c r="Q195" s="307">
        <v>7</v>
      </c>
      <c r="R195" s="380">
        <v>2020003630087</v>
      </c>
      <c r="S195" s="392" t="s">
        <v>546</v>
      </c>
      <c r="T195" s="381"/>
      <c r="U195" s="381"/>
      <c r="V195" s="381"/>
      <c r="W195" s="381"/>
      <c r="X195" s="381"/>
      <c r="Y195" s="381"/>
      <c r="Z195" s="381"/>
      <c r="AA195" s="381"/>
      <c r="AB195" s="381"/>
      <c r="AC195" s="381"/>
      <c r="AD195" s="381"/>
      <c r="AE195" s="381"/>
      <c r="AF195" s="381"/>
      <c r="AG195" s="381"/>
      <c r="AH195" s="381"/>
      <c r="AI195" s="381"/>
      <c r="AJ195" s="381"/>
      <c r="AK195" s="381"/>
      <c r="AL195" s="381">
        <f>94000000-9500001</f>
        <v>84499999</v>
      </c>
      <c r="AM195" s="381">
        <v>84499999</v>
      </c>
      <c r="AN195" s="381">
        <v>84499999</v>
      </c>
      <c r="AO195" s="381"/>
      <c r="AP195" s="381"/>
      <c r="AQ195" s="381"/>
      <c r="AR195" s="381"/>
      <c r="AS195" s="381"/>
      <c r="AT195" s="381"/>
      <c r="AU195" s="381">
        <f t="shared" si="11"/>
        <v>84499999</v>
      </c>
      <c r="AV195" s="381">
        <f t="shared" si="12"/>
        <v>84499999</v>
      </c>
      <c r="AW195" s="381">
        <f t="shared" si="13"/>
        <v>84499999</v>
      </c>
      <c r="AX195" s="461" t="s">
        <v>437</v>
      </c>
    </row>
    <row r="196" spans="1:129" s="331" customFormat="1" ht="63.75" x14ac:dyDescent="0.25">
      <c r="A196" s="257">
        <v>312</v>
      </c>
      <c r="B196" s="376" t="s">
        <v>431</v>
      </c>
      <c r="C196" s="257">
        <v>3</v>
      </c>
      <c r="D196" s="376" t="s">
        <v>146</v>
      </c>
      <c r="E196" s="257">
        <v>2</v>
      </c>
      <c r="F196" s="376" t="s">
        <v>455</v>
      </c>
      <c r="G196" s="257">
        <v>32</v>
      </c>
      <c r="H196" s="376" t="s">
        <v>160</v>
      </c>
      <c r="I196" s="257" t="s">
        <v>547</v>
      </c>
      <c r="J196" s="376" t="s">
        <v>548</v>
      </c>
      <c r="K196" s="257">
        <v>3204012</v>
      </c>
      <c r="L196" s="376" t="s">
        <v>549</v>
      </c>
      <c r="M196" s="257" t="s">
        <v>550</v>
      </c>
      <c r="N196" s="376" t="s">
        <v>551</v>
      </c>
      <c r="O196" s="382" t="s">
        <v>67</v>
      </c>
      <c r="P196" s="307">
        <v>3</v>
      </c>
      <c r="Q196" s="307">
        <v>2</v>
      </c>
      <c r="R196" s="380">
        <v>2020003630029</v>
      </c>
      <c r="S196" s="418" t="s">
        <v>552</v>
      </c>
      <c r="T196" s="381"/>
      <c r="U196" s="381"/>
      <c r="V196" s="381"/>
      <c r="W196" s="381"/>
      <c r="X196" s="381"/>
      <c r="Y196" s="381"/>
      <c r="Z196" s="381"/>
      <c r="AA196" s="381"/>
      <c r="AB196" s="381"/>
      <c r="AC196" s="381"/>
      <c r="AD196" s="381"/>
      <c r="AE196" s="381"/>
      <c r="AF196" s="381"/>
      <c r="AG196" s="381"/>
      <c r="AH196" s="381"/>
      <c r="AI196" s="381"/>
      <c r="AJ196" s="381"/>
      <c r="AK196" s="381"/>
      <c r="AL196" s="381">
        <f>168000000-115750000</f>
        <v>52250000</v>
      </c>
      <c r="AM196" s="381">
        <v>52250000</v>
      </c>
      <c r="AN196" s="381">
        <v>52250000</v>
      </c>
      <c r="AO196" s="381"/>
      <c r="AP196" s="381"/>
      <c r="AQ196" s="381"/>
      <c r="AR196" s="381"/>
      <c r="AS196" s="381"/>
      <c r="AT196" s="381"/>
      <c r="AU196" s="381">
        <f t="shared" si="11"/>
        <v>52250000</v>
      </c>
      <c r="AV196" s="381">
        <f t="shared" si="12"/>
        <v>52250000</v>
      </c>
      <c r="AW196" s="381">
        <f t="shared" si="13"/>
        <v>52250000</v>
      </c>
      <c r="AX196" s="461" t="s">
        <v>437</v>
      </c>
    </row>
    <row r="197" spans="1:129" s="332" customFormat="1" ht="63.75" x14ac:dyDescent="0.25">
      <c r="A197" s="259">
        <v>312</v>
      </c>
      <c r="B197" s="325" t="s">
        <v>431</v>
      </c>
      <c r="C197" s="306"/>
      <c r="D197" s="386"/>
      <c r="E197" s="306">
        <v>2</v>
      </c>
      <c r="F197" s="386" t="s">
        <v>455</v>
      </c>
      <c r="G197" s="305">
        <v>32</v>
      </c>
      <c r="H197" s="333" t="s">
        <v>160</v>
      </c>
      <c r="I197" s="305">
        <v>3201</v>
      </c>
      <c r="J197" s="333" t="s">
        <v>508</v>
      </c>
      <c r="K197" s="281">
        <v>3201003</v>
      </c>
      <c r="L197" s="333" t="s">
        <v>553</v>
      </c>
      <c r="M197" s="266">
        <v>320100300</v>
      </c>
      <c r="N197" s="333" t="s">
        <v>554</v>
      </c>
      <c r="O197" s="305" t="s">
        <v>67</v>
      </c>
      <c r="P197" s="305">
        <v>1</v>
      </c>
      <c r="Q197" s="305">
        <v>0.19</v>
      </c>
      <c r="R197" s="281">
        <v>2024003630088</v>
      </c>
      <c r="S197" s="464" t="s">
        <v>555</v>
      </c>
      <c r="T197" s="467"/>
      <c r="U197" s="467"/>
      <c r="V197" s="467"/>
      <c r="W197" s="467"/>
      <c r="X197" s="467"/>
      <c r="Y197" s="467"/>
      <c r="Z197" s="467"/>
      <c r="AA197" s="467"/>
      <c r="AB197" s="467"/>
      <c r="AC197" s="467"/>
      <c r="AD197" s="467"/>
      <c r="AE197" s="467"/>
      <c r="AF197" s="467"/>
      <c r="AG197" s="467"/>
      <c r="AH197" s="467"/>
      <c r="AI197" s="467"/>
      <c r="AJ197" s="467"/>
      <c r="AK197" s="467"/>
      <c r="AL197" s="328">
        <v>42903335</v>
      </c>
      <c r="AM197" s="328">
        <v>42300000</v>
      </c>
      <c r="AN197" s="328">
        <v>31400000</v>
      </c>
      <c r="AO197" s="328"/>
      <c r="AP197" s="328"/>
      <c r="AQ197" s="328"/>
      <c r="AR197" s="328"/>
      <c r="AS197" s="328"/>
      <c r="AT197" s="328"/>
      <c r="AU197" s="328">
        <f t="shared" si="11"/>
        <v>42903335</v>
      </c>
      <c r="AV197" s="328">
        <f t="shared" si="12"/>
        <v>42300000</v>
      </c>
      <c r="AW197" s="328">
        <f t="shared" si="13"/>
        <v>31400000</v>
      </c>
      <c r="AX197" s="462" t="s">
        <v>437</v>
      </c>
      <c r="AY197" s="331"/>
      <c r="AZ197" s="331"/>
      <c r="BA197" s="331"/>
      <c r="BB197" s="331"/>
      <c r="BC197" s="331"/>
      <c r="BD197" s="331"/>
      <c r="BE197" s="331"/>
      <c r="BF197" s="331"/>
      <c r="BG197" s="331"/>
      <c r="BH197" s="331"/>
      <c r="BI197" s="331"/>
      <c r="BJ197" s="331"/>
      <c r="BK197" s="331"/>
      <c r="BL197" s="331"/>
      <c r="BM197" s="331"/>
      <c r="BN197" s="331"/>
      <c r="BO197" s="331"/>
      <c r="BP197" s="331"/>
      <c r="BQ197" s="331"/>
      <c r="BR197" s="331"/>
      <c r="BS197" s="331"/>
      <c r="BT197" s="331"/>
      <c r="BU197" s="331"/>
      <c r="BV197" s="331"/>
      <c r="BW197" s="331"/>
      <c r="BX197" s="331"/>
      <c r="BY197" s="331"/>
      <c r="BZ197" s="331"/>
      <c r="CA197" s="331"/>
      <c r="CB197" s="331"/>
      <c r="CC197" s="331"/>
      <c r="CD197" s="331"/>
      <c r="CE197" s="331"/>
      <c r="CF197" s="331"/>
      <c r="CG197" s="331"/>
      <c r="CH197" s="331"/>
      <c r="CI197" s="331"/>
      <c r="CJ197" s="331"/>
      <c r="CK197" s="331"/>
      <c r="CL197" s="331"/>
      <c r="CM197" s="331"/>
      <c r="CN197" s="331"/>
      <c r="CO197" s="331"/>
      <c r="CP197" s="331"/>
      <c r="CQ197" s="331"/>
      <c r="CR197" s="331"/>
      <c r="CS197" s="331"/>
      <c r="CT197" s="331"/>
      <c r="CU197" s="331"/>
      <c r="CV197" s="331"/>
      <c r="CW197" s="331"/>
      <c r="CX197" s="331"/>
      <c r="CY197" s="331"/>
      <c r="CZ197" s="331"/>
      <c r="DA197" s="331"/>
      <c r="DB197" s="331"/>
      <c r="DC197" s="331"/>
      <c r="DD197" s="331"/>
      <c r="DE197" s="331"/>
      <c r="DF197" s="331"/>
      <c r="DG197" s="331"/>
      <c r="DH197" s="331"/>
      <c r="DI197" s="331"/>
      <c r="DJ197" s="331"/>
      <c r="DK197" s="331"/>
      <c r="DL197" s="331"/>
      <c r="DM197" s="331"/>
      <c r="DN197" s="331"/>
      <c r="DO197" s="331"/>
      <c r="DP197" s="331"/>
      <c r="DQ197" s="331"/>
      <c r="DR197" s="331"/>
      <c r="DS197" s="331"/>
      <c r="DT197" s="331"/>
      <c r="DU197" s="331"/>
      <c r="DV197" s="331"/>
      <c r="DW197" s="331"/>
      <c r="DX197" s="331"/>
      <c r="DY197" s="331"/>
    </row>
    <row r="198" spans="1:129" s="331" customFormat="1" ht="63.75" x14ac:dyDescent="0.25">
      <c r="A198" s="257">
        <v>312</v>
      </c>
      <c r="B198" s="376" t="s">
        <v>431</v>
      </c>
      <c r="C198" s="257">
        <v>3</v>
      </c>
      <c r="D198" s="376" t="s">
        <v>146</v>
      </c>
      <c r="E198" s="257">
        <v>2</v>
      </c>
      <c r="F198" s="376" t="s">
        <v>455</v>
      </c>
      <c r="G198" s="257">
        <v>32</v>
      </c>
      <c r="H198" s="376" t="s">
        <v>160</v>
      </c>
      <c r="I198" s="257">
        <v>3205</v>
      </c>
      <c r="J198" s="376" t="s">
        <v>161</v>
      </c>
      <c r="K198" s="257">
        <v>3205009</v>
      </c>
      <c r="L198" s="376" t="s">
        <v>556</v>
      </c>
      <c r="M198" s="257" t="s">
        <v>557</v>
      </c>
      <c r="N198" s="388" t="s">
        <v>558</v>
      </c>
      <c r="O198" s="382" t="s">
        <v>67</v>
      </c>
      <c r="P198" s="280">
        <v>300</v>
      </c>
      <c r="Q198" s="280">
        <v>0</v>
      </c>
      <c r="R198" s="380">
        <v>2020003630030</v>
      </c>
      <c r="S198" s="418" t="s">
        <v>559</v>
      </c>
      <c r="T198" s="400"/>
      <c r="U198" s="400"/>
      <c r="V198" s="400"/>
      <c r="W198" s="381"/>
      <c r="X198" s="381"/>
      <c r="Y198" s="381"/>
      <c r="Z198" s="381"/>
      <c r="AA198" s="381"/>
      <c r="AB198" s="381"/>
      <c r="AC198" s="381"/>
      <c r="AD198" s="381"/>
      <c r="AE198" s="381"/>
      <c r="AF198" s="381"/>
      <c r="AG198" s="381"/>
      <c r="AH198" s="381"/>
      <c r="AI198" s="381"/>
      <c r="AJ198" s="381"/>
      <c r="AK198" s="381"/>
      <c r="AL198" s="381">
        <f>95000000-50000000</f>
        <v>45000000</v>
      </c>
      <c r="AM198" s="381">
        <v>45000000</v>
      </c>
      <c r="AN198" s="381">
        <v>45000000</v>
      </c>
      <c r="AO198" s="381"/>
      <c r="AP198" s="381"/>
      <c r="AQ198" s="381"/>
      <c r="AR198" s="381"/>
      <c r="AS198" s="381"/>
      <c r="AT198" s="381"/>
      <c r="AU198" s="381">
        <f t="shared" si="11"/>
        <v>45000000</v>
      </c>
      <c r="AV198" s="381">
        <f t="shared" si="12"/>
        <v>45000000</v>
      </c>
      <c r="AW198" s="381">
        <f t="shared" si="13"/>
        <v>45000000</v>
      </c>
      <c r="AX198" s="461" t="s">
        <v>437</v>
      </c>
    </row>
    <row r="199" spans="1:129" s="331" customFormat="1" ht="63.75" x14ac:dyDescent="0.25">
      <c r="A199" s="257">
        <v>312</v>
      </c>
      <c r="B199" s="376" t="s">
        <v>431</v>
      </c>
      <c r="C199" s="257">
        <v>3</v>
      </c>
      <c r="D199" s="376" t="s">
        <v>146</v>
      </c>
      <c r="E199" s="257">
        <v>2</v>
      </c>
      <c r="F199" s="376" t="s">
        <v>455</v>
      </c>
      <c r="G199" s="257">
        <v>32</v>
      </c>
      <c r="H199" s="376" t="s">
        <v>160</v>
      </c>
      <c r="I199" s="257">
        <v>3205</v>
      </c>
      <c r="J199" s="376" t="s">
        <v>161</v>
      </c>
      <c r="K199" s="257">
        <v>3205010</v>
      </c>
      <c r="L199" s="376" t="s">
        <v>162</v>
      </c>
      <c r="M199" s="257">
        <v>320501000</v>
      </c>
      <c r="N199" s="388" t="s">
        <v>164</v>
      </c>
      <c r="O199" s="382" t="s">
        <v>67</v>
      </c>
      <c r="P199" s="280">
        <v>1</v>
      </c>
      <c r="Q199" s="280">
        <v>0</v>
      </c>
      <c r="R199" s="380">
        <v>2020003630030</v>
      </c>
      <c r="S199" s="418" t="s">
        <v>559</v>
      </c>
      <c r="T199" s="400"/>
      <c r="U199" s="400"/>
      <c r="V199" s="400"/>
      <c r="W199" s="381"/>
      <c r="X199" s="381"/>
      <c r="Y199" s="381"/>
      <c r="Z199" s="381"/>
      <c r="AA199" s="381"/>
      <c r="AB199" s="381"/>
      <c r="AC199" s="381"/>
      <c r="AD199" s="381"/>
      <c r="AE199" s="381"/>
      <c r="AF199" s="381"/>
      <c r="AG199" s="381"/>
      <c r="AH199" s="381"/>
      <c r="AI199" s="381"/>
      <c r="AJ199" s="381"/>
      <c r="AK199" s="381"/>
      <c r="AL199" s="381">
        <v>135000000</v>
      </c>
      <c r="AM199" s="381">
        <v>135000000</v>
      </c>
      <c r="AN199" s="381">
        <v>135000000</v>
      </c>
      <c r="AO199" s="381"/>
      <c r="AP199" s="381"/>
      <c r="AQ199" s="381"/>
      <c r="AR199" s="381"/>
      <c r="AS199" s="381"/>
      <c r="AT199" s="381"/>
      <c r="AU199" s="381">
        <f t="shared" si="11"/>
        <v>135000000</v>
      </c>
      <c r="AV199" s="381">
        <f t="shared" si="12"/>
        <v>135000000</v>
      </c>
      <c r="AW199" s="381">
        <f t="shared" si="13"/>
        <v>135000000</v>
      </c>
      <c r="AX199" s="461" t="s">
        <v>437</v>
      </c>
    </row>
    <row r="200" spans="1:129" s="332" customFormat="1" ht="63.75" x14ac:dyDescent="0.25">
      <c r="A200" s="259">
        <v>312</v>
      </c>
      <c r="B200" s="325" t="s">
        <v>431</v>
      </c>
      <c r="C200" s="306"/>
      <c r="D200" s="386"/>
      <c r="E200" s="306">
        <v>2</v>
      </c>
      <c r="F200" s="386" t="s">
        <v>455</v>
      </c>
      <c r="G200" s="272">
        <v>32</v>
      </c>
      <c r="H200" s="333" t="s">
        <v>160</v>
      </c>
      <c r="I200" s="305">
        <v>3205</v>
      </c>
      <c r="J200" s="333" t="s">
        <v>560</v>
      </c>
      <c r="K200" s="305" t="s">
        <v>561</v>
      </c>
      <c r="L200" s="333" t="s">
        <v>556</v>
      </c>
      <c r="M200" s="305" t="s">
        <v>557</v>
      </c>
      <c r="N200" s="333" t="s">
        <v>558</v>
      </c>
      <c r="O200" s="305" t="s">
        <v>67</v>
      </c>
      <c r="P200" s="305">
        <v>3750</v>
      </c>
      <c r="Q200" s="305">
        <v>0</v>
      </c>
      <c r="R200" s="281">
        <v>2024003630067</v>
      </c>
      <c r="S200" s="464" t="s">
        <v>562</v>
      </c>
      <c r="T200" s="404"/>
      <c r="U200" s="404"/>
      <c r="V200" s="404"/>
      <c r="W200" s="328"/>
      <c r="X200" s="328"/>
      <c r="Y200" s="328"/>
      <c r="Z200" s="328"/>
      <c r="AA200" s="328"/>
      <c r="AB200" s="328"/>
      <c r="AC200" s="328"/>
      <c r="AD200" s="328"/>
      <c r="AE200" s="328"/>
      <c r="AF200" s="328"/>
      <c r="AG200" s="328"/>
      <c r="AH200" s="328"/>
      <c r="AI200" s="328"/>
      <c r="AJ200" s="328"/>
      <c r="AK200" s="328"/>
      <c r="AL200" s="328">
        <v>2500000</v>
      </c>
      <c r="AM200" s="328"/>
      <c r="AN200" s="328"/>
      <c r="AO200" s="328"/>
      <c r="AP200" s="328"/>
      <c r="AQ200" s="328"/>
      <c r="AR200" s="328"/>
      <c r="AS200" s="328"/>
      <c r="AT200" s="328"/>
      <c r="AU200" s="328">
        <f t="shared" si="11"/>
        <v>2500000</v>
      </c>
      <c r="AV200" s="328">
        <f t="shared" si="12"/>
        <v>0</v>
      </c>
      <c r="AW200" s="328">
        <f t="shared" si="13"/>
        <v>0</v>
      </c>
      <c r="AX200" s="462" t="s">
        <v>437</v>
      </c>
      <c r="AY200" s="331"/>
      <c r="AZ200" s="331"/>
      <c r="BA200" s="331"/>
      <c r="BB200" s="331"/>
      <c r="BC200" s="331"/>
      <c r="BD200" s="331"/>
      <c r="BE200" s="331"/>
      <c r="BF200" s="331"/>
      <c r="BG200" s="331"/>
      <c r="BH200" s="331"/>
      <c r="BI200" s="331"/>
      <c r="BJ200" s="331"/>
      <c r="BK200" s="331"/>
      <c r="BL200" s="331"/>
      <c r="BM200" s="331"/>
      <c r="BN200" s="331"/>
      <c r="BO200" s="331"/>
      <c r="BP200" s="331"/>
      <c r="BQ200" s="331"/>
      <c r="BR200" s="331"/>
      <c r="BS200" s="331"/>
      <c r="BT200" s="331"/>
      <c r="BU200" s="331"/>
      <c r="BV200" s="331"/>
      <c r="BW200" s="331"/>
      <c r="BX200" s="331"/>
      <c r="BY200" s="331"/>
      <c r="BZ200" s="331"/>
      <c r="CA200" s="331"/>
      <c r="CB200" s="331"/>
      <c r="CC200" s="331"/>
      <c r="CD200" s="331"/>
      <c r="CE200" s="331"/>
      <c r="CF200" s="331"/>
      <c r="CG200" s="331"/>
      <c r="CH200" s="331"/>
      <c r="CI200" s="331"/>
      <c r="CJ200" s="331"/>
      <c r="CK200" s="331"/>
      <c r="CL200" s="331"/>
      <c r="CM200" s="331"/>
      <c r="CN200" s="331"/>
      <c r="CO200" s="331"/>
      <c r="CP200" s="331"/>
      <c r="CQ200" s="331"/>
      <c r="CR200" s="331"/>
      <c r="CS200" s="331"/>
      <c r="CT200" s="331"/>
      <c r="CU200" s="331"/>
      <c r="CV200" s="331"/>
      <c r="CW200" s="331"/>
      <c r="CX200" s="331"/>
      <c r="CY200" s="331"/>
      <c r="CZ200" s="331"/>
      <c r="DA200" s="331"/>
      <c r="DB200" s="331"/>
      <c r="DC200" s="331"/>
      <c r="DD200" s="331"/>
      <c r="DE200" s="331"/>
      <c r="DF200" s="331"/>
      <c r="DG200" s="331"/>
      <c r="DH200" s="331"/>
      <c r="DI200" s="331"/>
      <c r="DJ200" s="331"/>
      <c r="DK200" s="331"/>
      <c r="DL200" s="331"/>
      <c r="DM200" s="331"/>
      <c r="DN200" s="331"/>
      <c r="DO200" s="331"/>
      <c r="DP200" s="331"/>
      <c r="DQ200" s="331"/>
      <c r="DR200" s="331"/>
      <c r="DS200" s="331"/>
      <c r="DT200" s="331"/>
      <c r="DU200" s="331"/>
      <c r="DV200" s="331"/>
      <c r="DW200" s="331"/>
      <c r="DX200" s="331"/>
      <c r="DY200" s="331"/>
    </row>
    <row r="201" spans="1:129" s="332" customFormat="1" ht="63.75" x14ac:dyDescent="0.25">
      <c r="A201" s="306">
        <v>312</v>
      </c>
      <c r="B201" s="325" t="s">
        <v>431</v>
      </c>
      <c r="C201" s="306"/>
      <c r="D201" s="386"/>
      <c r="E201" s="306">
        <v>2</v>
      </c>
      <c r="F201" s="386" t="s">
        <v>455</v>
      </c>
      <c r="G201" s="272">
        <v>32</v>
      </c>
      <c r="H201" s="333" t="s">
        <v>160</v>
      </c>
      <c r="I201" s="272">
        <v>3205</v>
      </c>
      <c r="J201" s="333" t="s">
        <v>560</v>
      </c>
      <c r="K201" s="282" t="s">
        <v>563</v>
      </c>
      <c r="L201" s="333" t="s">
        <v>162</v>
      </c>
      <c r="M201" s="282" t="s">
        <v>163</v>
      </c>
      <c r="N201" s="333" t="s">
        <v>164</v>
      </c>
      <c r="O201" s="305" t="s">
        <v>67</v>
      </c>
      <c r="P201" s="305">
        <f>1000+12.5</f>
        <v>1012.5</v>
      </c>
      <c r="Q201" s="305">
        <v>0</v>
      </c>
      <c r="R201" s="281">
        <v>2024003630067</v>
      </c>
      <c r="S201" s="464" t="s">
        <v>562</v>
      </c>
      <c r="T201" s="404"/>
      <c r="U201" s="404"/>
      <c r="V201" s="404"/>
      <c r="W201" s="328"/>
      <c r="X201" s="328"/>
      <c r="Y201" s="328"/>
      <c r="Z201" s="328"/>
      <c r="AA201" s="328"/>
      <c r="AB201" s="328"/>
      <c r="AC201" s="328"/>
      <c r="AD201" s="328"/>
      <c r="AE201" s="328"/>
      <c r="AF201" s="328"/>
      <c r="AG201" s="328"/>
      <c r="AH201" s="328"/>
      <c r="AI201" s="328"/>
      <c r="AJ201" s="328"/>
      <c r="AK201" s="328"/>
      <c r="AL201" s="328">
        <v>2500000</v>
      </c>
      <c r="AM201" s="328"/>
      <c r="AN201" s="328"/>
      <c r="AO201" s="328"/>
      <c r="AP201" s="328"/>
      <c r="AQ201" s="328"/>
      <c r="AR201" s="328"/>
      <c r="AS201" s="328"/>
      <c r="AT201" s="328"/>
      <c r="AU201" s="328">
        <f t="shared" si="11"/>
        <v>2500000</v>
      </c>
      <c r="AV201" s="328">
        <f t="shared" si="12"/>
        <v>0</v>
      </c>
      <c r="AW201" s="328">
        <f t="shared" si="13"/>
        <v>0</v>
      </c>
      <c r="AX201" s="462" t="s">
        <v>437</v>
      </c>
      <c r="AY201" s="331"/>
      <c r="AZ201" s="331"/>
      <c r="BA201" s="331"/>
      <c r="BB201" s="331"/>
      <c r="BC201" s="331"/>
      <c r="BD201" s="331"/>
      <c r="BE201" s="331"/>
      <c r="BF201" s="331"/>
      <c r="BG201" s="331"/>
      <c r="BH201" s="331"/>
      <c r="BI201" s="331"/>
      <c r="BJ201" s="331"/>
      <c r="BK201" s="331"/>
      <c r="BL201" s="331"/>
      <c r="BM201" s="331"/>
      <c r="BN201" s="331"/>
      <c r="BO201" s="331"/>
      <c r="BP201" s="331"/>
      <c r="BQ201" s="331"/>
      <c r="BR201" s="331"/>
      <c r="BS201" s="331"/>
      <c r="BT201" s="331"/>
      <c r="BU201" s="331"/>
      <c r="BV201" s="331"/>
      <c r="BW201" s="331"/>
      <c r="BX201" s="331"/>
      <c r="BY201" s="331"/>
      <c r="BZ201" s="331"/>
      <c r="CA201" s="331"/>
      <c r="CB201" s="331"/>
      <c r="CC201" s="331"/>
      <c r="CD201" s="331"/>
      <c r="CE201" s="331"/>
      <c r="CF201" s="331"/>
      <c r="CG201" s="331"/>
      <c r="CH201" s="331"/>
      <c r="CI201" s="331"/>
      <c r="CJ201" s="331"/>
      <c r="CK201" s="331"/>
      <c r="CL201" s="331"/>
      <c r="CM201" s="331"/>
      <c r="CN201" s="331"/>
      <c r="CO201" s="331"/>
      <c r="CP201" s="331"/>
      <c r="CQ201" s="331"/>
      <c r="CR201" s="331"/>
      <c r="CS201" s="331"/>
      <c r="CT201" s="331"/>
      <c r="CU201" s="331"/>
      <c r="CV201" s="331"/>
      <c r="CW201" s="331"/>
      <c r="CX201" s="331"/>
      <c r="CY201" s="331"/>
      <c r="CZ201" s="331"/>
      <c r="DA201" s="331"/>
      <c r="DB201" s="331"/>
      <c r="DC201" s="331"/>
      <c r="DD201" s="331"/>
      <c r="DE201" s="331"/>
      <c r="DF201" s="331"/>
      <c r="DG201" s="331"/>
      <c r="DH201" s="331"/>
      <c r="DI201" s="331"/>
      <c r="DJ201" s="331"/>
      <c r="DK201" s="331"/>
      <c r="DL201" s="331"/>
      <c r="DM201" s="331"/>
      <c r="DN201" s="331"/>
      <c r="DO201" s="331"/>
      <c r="DP201" s="331"/>
      <c r="DQ201" s="331"/>
      <c r="DR201" s="331"/>
      <c r="DS201" s="331"/>
      <c r="DT201" s="331"/>
      <c r="DU201" s="331"/>
      <c r="DV201" s="331"/>
      <c r="DW201" s="331"/>
      <c r="DX201" s="331"/>
      <c r="DY201" s="331"/>
    </row>
    <row r="202" spans="1:129" s="331" customFormat="1" ht="89.25" x14ac:dyDescent="0.25">
      <c r="A202" s="257">
        <v>312</v>
      </c>
      <c r="B202" s="376" t="s">
        <v>431</v>
      </c>
      <c r="C202" s="257">
        <v>3</v>
      </c>
      <c r="D202" s="376" t="s">
        <v>146</v>
      </c>
      <c r="E202" s="257">
        <v>2</v>
      </c>
      <c r="F202" s="376" t="s">
        <v>455</v>
      </c>
      <c r="G202" s="257">
        <v>32</v>
      </c>
      <c r="H202" s="376" t="s">
        <v>160</v>
      </c>
      <c r="I202" s="257" t="s">
        <v>564</v>
      </c>
      <c r="J202" s="376" t="s">
        <v>565</v>
      </c>
      <c r="K202" s="281">
        <v>3206005</v>
      </c>
      <c r="L202" s="376" t="s">
        <v>566</v>
      </c>
      <c r="M202" s="263" t="s">
        <v>567</v>
      </c>
      <c r="N202" s="388" t="s">
        <v>568</v>
      </c>
      <c r="O202" s="382" t="s">
        <v>67</v>
      </c>
      <c r="P202" s="280">
        <v>4</v>
      </c>
      <c r="Q202" s="280">
        <v>2</v>
      </c>
      <c r="R202" s="380">
        <v>2020003630088</v>
      </c>
      <c r="S202" s="418" t="s">
        <v>569</v>
      </c>
      <c r="T202" s="381"/>
      <c r="U202" s="381"/>
      <c r="V202" s="381"/>
      <c r="W202" s="381"/>
      <c r="X202" s="381"/>
      <c r="Y202" s="381"/>
      <c r="Z202" s="381"/>
      <c r="AA202" s="381"/>
      <c r="AB202" s="381"/>
      <c r="AC202" s="381"/>
      <c r="AD202" s="381"/>
      <c r="AE202" s="381"/>
      <c r="AF202" s="381"/>
      <c r="AG202" s="381"/>
      <c r="AH202" s="381"/>
      <c r="AI202" s="381"/>
      <c r="AJ202" s="381"/>
      <c r="AK202" s="381"/>
      <c r="AL202" s="381">
        <f>115000000-51670001</f>
        <v>63329999</v>
      </c>
      <c r="AM202" s="381">
        <v>63329999</v>
      </c>
      <c r="AN202" s="381">
        <v>59629999</v>
      </c>
      <c r="AO202" s="381"/>
      <c r="AP202" s="381"/>
      <c r="AQ202" s="381"/>
      <c r="AR202" s="381"/>
      <c r="AS202" s="381"/>
      <c r="AT202" s="381"/>
      <c r="AU202" s="381">
        <f t="shared" si="11"/>
        <v>63329999</v>
      </c>
      <c r="AV202" s="381">
        <f t="shared" si="12"/>
        <v>63329999</v>
      </c>
      <c r="AW202" s="381">
        <f t="shared" si="13"/>
        <v>59629999</v>
      </c>
      <c r="AX202" s="461" t="s">
        <v>437</v>
      </c>
    </row>
    <row r="203" spans="1:129" s="331" customFormat="1" ht="63.75" x14ac:dyDescent="0.25">
      <c r="A203" s="257">
        <v>312</v>
      </c>
      <c r="B203" s="376" t="s">
        <v>431</v>
      </c>
      <c r="C203" s="257">
        <v>3</v>
      </c>
      <c r="D203" s="376" t="s">
        <v>146</v>
      </c>
      <c r="E203" s="257">
        <v>2</v>
      </c>
      <c r="F203" s="376" t="s">
        <v>455</v>
      </c>
      <c r="G203" s="257">
        <v>32</v>
      </c>
      <c r="H203" s="376" t="s">
        <v>160</v>
      </c>
      <c r="I203" s="257" t="s">
        <v>564</v>
      </c>
      <c r="J203" s="376" t="s">
        <v>565</v>
      </c>
      <c r="K203" s="257">
        <v>3206014</v>
      </c>
      <c r="L203" s="376" t="s">
        <v>570</v>
      </c>
      <c r="M203" s="263" t="s">
        <v>571</v>
      </c>
      <c r="N203" s="388" t="s">
        <v>572</v>
      </c>
      <c r="O203" s="382" t="s">
        <v>67</v>
      </c>
      <c r="P203" s="302">
        <v>2000</v>
      </c>
      <c r="Q203" s="302">
        <v>1200</v>
      </c>
      <c r="R203" s="380">
        <v>2020003630088</v>
      </c>
      <c r="S203" s="418" t="s">
        <v>569</v>
      </c>
      <c r="T203" s="381"/>
      <c r="U203" s="381"/>
      <c r="V203" s="381"/>
      <c r="W203" s="381"/>
      <c r="X203" s="381"/>
      <c r="Y203" s="381"/>
      <c r="Z203" s="381"/>
      <c r="AA203" s="381"/>
      <c r="AB203" s="381"/>
      <c r="AC203" s="381"/>
      <c r="AD203" s="381"/>
      <c r="AE203" s="381"/>
      <c r="AF203" s="381"/>
      <c r="AG203" s="381"/>
      <c r="AH203" s="381"/>
      <c r="AI203" s="381"/>
      <c r="AJ203" s="381"/>
      <c r="AK203" s="381"/>
      <c r="AL203" s="381">
        <f>108000000-93200000</f>
        <v>14800000</v>
      </c>
      <c r="AM203" s="381">
        <v>14800000</v>
      </c>
      <c r="AN203" s="381">
        <v>14800000</v>
      </c>
      <c r="AO203" s="381"/>
      <c r="AP203" s="381"/>
      <c r="AQ203" s="381"/>
      <c r="AR203" s="381"/>
      <c r="AS203" s="381"/>
      <c r="AT203" s="381"/>
      <c r="AU203" s="381">
        <f t="shared" si="11"/>
        <v>14800000</v>
      </c>
      <c r="AV203" s="381">
        <f t="shared" si="12"/>
        <v>14800000</v>
      </c>
      <c r="AW203" s="381">
        <f t="shared" si="13"/>
        <v>14800000</v>
      </c>
      <c r="AX203" s="461" t="s">
        <v>437</v>
      </c>
    </row>
    <row r="204" spans="1:129" s="331" customFormat="1" ht="63.75" x14ac:dyDescent="0.25">
      <c r="A204" s="257">
        <v>312</v>
      </c>
      <c r="B204" s="376" t="s">
        <v>431</v>
      </c>
      <c r="C204" s="257">
        <v>3</v>
      </c>
      <c r="D204" s="376" t="s">
        <v>146</v>
      </c>
      <c r="E204" s="257">
        <v>2</v>
      </c>
      <c r="F204" s="376" t="s">
        <v>455</v>
      </c>
      <c r="G204" s="257">
        <v>32</v>
      </c>
      <c r="H204" s="376" t="s">
        <v>160</v>
      </c>
      <c r="I204" s="257" t="s">
        <v>564</v>
      </c>
      <c r="J204" s="376" t="s">
        <v>565</v>
      </c>
      <c r="K204" s="313" t="s">
        <v>573</v>
      </c>
      <c r="L204" s="376" t="s">
        <v>574</v>
      </c>
      <c r="M204" s="263" t="s">
        <v>575</v>
      </c>
      <c r="N204" s="388" t="s">
        <v>576</v>
      </c>
      <c r="O204" s="382" t="s">
        <v>67</v>
      </c>
      <c r="P204" s="280">
        <v>50</v>
      </c>
      <c r="Q204" s="280">
        <v>0</v>
      </c>
      <c r="R204" s="380">
        <v>2020003630088</v>
      </c>
      <c r="S204" s="418" t="s">
        <v>569</v>
      </c>
      <c r="T204" s="381"/>
      <c r="U204" s="381"/>
      <c r="V204" s="381"/>
      <c r="W204" s="381"/>
      <c r="X204" s="381"/>
      <c r="Y204" s="381"/>
      <c r="Z204" s="381"/>
      <c r="AA204" s="381"/>
      <c r="AB204" s="381"/>
      <c r="AC204" s="381"/>
      <c r="AD204" s="381"/>
      <c r="AE204" s="381"/>
      <c r="AF204" s="381"/>
      <c r="AG204" s="381"/>
      <c r="AH204" s="381"/>
      <c r="AI204" s="381"/>
      <c r="AJ204" s="381"/>
      <c r="AK204" s="381"/>
      <c r="AL204" s="381">
        <v>244000000.94999999</v>
      </c>
      <c r="AM204" s="381">
        <v>244000000.94999999</v>
      </c>
      <c r="AN204" s="381">
        <v>160820000</v>
      </c>
      <c r="AO204" s="381"/>
      <c r="AP204" s="381"/>
      <c r="AQ204" s="381"/>
      <c r="AR204" s="381"/>
      <c r="AS204" s="381"/>
      <c r="AT204" s="381"/>
      <c r="AU204" s="381">
        <f t="shared" si="11"/>
        <v>244000000.94999999</v>
      </c>
      <c r="AV204" s="381">
        <f t="shared" si="12"/>
        <v>244000000.94999999</v>
      </c>
      <c r="AW204" s="381">
        <f t="shared" si="13"/>
        <v>160820000</v>
      </c>
      <c r="AX204" s="461" t="s">
        <v>437</v>
      </c>
    </row>
    <row r="205" spans="1:129" s="332" customFormat="1" ht="63.75" x14ac:dyDescent="0.25">
      <c r="A205" s="259">
        <v>312</v>
      </c>
      <c r="B205" s="325" t="s">
        <v>431</v>
      </c>
      <c r="C205" s="259"/>
      <c r="D205" s="386"/>
      <c r="E205" s="259">
        <v>2</v>
      </c>
      <c r="F205" s="386" t="s">
        <v>455</v>
      </c>
      <c r="G205" s="272">
        <v>32</v>
      </c>
      <c r="H205" s="333" t="s">
        <v>160</v>
      </c>
      <c r="I205" s="272" t="s">
        <v>564</v>
      </c>
      <c r="J205" s="333" t="s">
        <v>565</v>
      </c>
      <c r="K205" s="272" t="s">
        <v>577</v>
      </c>
      <c r="L205" s="333" t="s">
        <v>578</v>
      </c>
      <c r="M205" s="272">
        <v>320601600</v>
      </c>
      <c r="N205" s="272" t="s">
        <v>579</v>
      </c>
      <c r="O205" s="305" t="s">
        <v>67</v>
      </c>
      <c r="P205" s="272">
        <v>80</v>
      </c>
      <c r="Q205" s="272">
        <v>0</v>
      </c>
      <c r="R205" s="281">
        <v>2024003630068</v>
      </c>
      <c r="S205" s="464" t="s">
        <v>580</v>
      </c>
      <c r="T205" s="328"/>
      <c r="U205" s="328"/>
      <c r="V205" s="328"/>
      <c r="W205" s="328"/>
      <c r="X205" s="328"/>
      <c r="Y205" s="328"/>
      <c r="Z205" s="328"/>
      <c r="AA205" s="328"/>
      <c r="AB205" s="328"/>
      <c r="AC205" s="328"/>
      <c r="AD205" s="328"/>
      <c r="AE205" s="328"/>
      <c r="AF205" s="328"/>
      <c r="AG205" s="328"/>
      <c r="AH205" s="328"/>
      <c r="AI205" s="328"/>
      <c r="AJ205" s="328"/>
      <c r="AK205" s="328"/>
      <c r="AL205" s="328">
        <v>10800000</v>
      </c>
      <c r="AM205" s="328"/>
      <c r="AN205" s="328"/>
      <c r="AO205" s="328"/>
      <c r="AP205" s="328"/>
      <c r="AQ205" s="328"/>
      <c r="AR205" s="328"/>
      <c r="AS205" s="328"/>
      <c r="AT205" s="328"/>
      <c r="AU205" s="328">
        <f t="shared" si="11"/>
        <v>10800000</v>
      </c>
      <c r="AV205" s="328">
        <f t="shared" si="12"/>
        <v>0</v>
      </c>
      <c r="AW205" s="328">
        <f t="shared" si="13"/>
        <v>0</v>
      </c>
      <c r="AX205" s="462" t="s">
        <v>437</v>
      </c>
      <c r="AY205" s="331"/>
      <c r="AZ205" s="331"/>
      <c r="BA205" s="331"/>
      <c r="BB205" s="331"/>
      <c r="BC205" s="331"/>
      <c r="BD205" s="331"/>
      <c r="BE205" s="331"/>
      <c r="BF205" s="331"/>
      <c r="BG205" s="331"/>
      <c r="BH205" s="331"/>
      <c r="BI205" s="331"/>
      <c r="BJ205" s="331"/>
      <c r="BK205" s="331"/>
      <c r="BL205" s="331"/>
      <c r="BM205" s="331"/>
      <c r="BN205" s="331"/>
      <c r="BO205" s="331"/>
      <c r="BP205" s="331"/>
      <c r="BQ205" s="331"/>
      <c r="BR205" s="331"/>
      <c r="BS205" s="331"/>
      <c r="BT205" s="331"/>
      <c r="BU205" s="331"/>
      <c r="BV205" s="331"/>
      <c r="BW205" s="331"/>
      <c r="BX205" s="331"/>
      <c r="BY205" s="331"/>
      <c r="BZ205" s="331"/>
      <c r="CA205" s="331"/>
      <c r="CB205" s="331"/>
      <c r="CC205" s="331"/>
      <c r="CD205" s="331"/>
      <c r="CE205" s="331"/>
      <c r="CF205" s="331"/>
      <c r="CG205" s="331"/>
      <c r="CH205" s="331"/>
      <c r="CI205" s="331"/>
      <c r="CJ205" s="331"/>
      <c r="CK205" s="331"/>
      <c r="CL205" s="331"/>
      <c r="CM205" s="331"/>
      <c r="CN205" s="331"/>
      <c r="CO205" s="331"/>
      <c r="CP205" s="331"/>
      <c r="CQ205" s="331"/>
      <c r="CR205" s="331"/>
      <c r="CS205" s="331"/>
      <c r="CT205" s="331"/>
      <c r="CU205" s="331"/>
      <c r="CV205" s="331"/>
      <c r="CW205" s="331"/>
      <c r="CX205" s="331"/>
      <c r="CY205" s="331"/>
      <c r="CZ205" s="331"/>
      <c r="DA205" s="331"/>
      <c r="DB205" s="331"/>
      <c r="DC205" s="331"/>
      <c r="DD205" s="331"/>
      <c r="DE205" s="331"/>
      <c r="DF205" s="331"/>
      <c r="DG205" s="331"/>
      <c r="DH205" s="331"/>
      <c r="DI205" s="331"/>
      <c r="DJ205" s="331"/>
      <c r="DK205" s="331"/>
      <c r="DL205" s="331"/>
      <c r="DM205" s="331"/>
      <c r="DN205" s="331"/>
      <c r="DO205" s="331"/>
      <c r="DP205" s="331"/>
      <c r="DQ205" s="331"/>
      <c r="DR205" s="331"/>
      <c r="DS205" s="331"/>
      <c r="DT205" s="331"/>
      <c r="DU205" s="331"/>
      <c r="DV205" s="331"/>
      <c r="DW205" s="331"/>
      <c r="DX205" s="331"/>
      <c r="DY205" s="331"/>
    </row>
    <row r="206" spans="1:129" s="332" customFormat="1" ht="89.25" x14ac:dyDescent="0.25">
      <c r="A206" s="259">
        <v>312</v>
      </c>
      <c r="B206" s="325" t="s">
        <v>431</v>
      </c>
      <c r="C206" s="259"/>
      <c r="D206" s="386"/>
      <c r="E206" s="259">
        <v>2</v>
      </c>
      <c r="F206" s="386" t="s">
        <v>455</v>
      </c>
      <c r="G206" s="272">
        <v>32</v>
      </c>
      <c r="H206" s="333" t="s">
        <v>160</v>
      </c>
      <c r="I206" s="272" t="s">
        <v>564</v>
      </c>
      <c r="J206" s="333" t="s">
        <v>565</v>
      </c>
      <c r="K206" s="282" t="s">
        <v>581</v>
      </c>
      <c r="L206" s="333" t="s">
        <v>566</v>
      </c>
      <c r="M206" s="266" t="s">
        <v>567</v>
      </c>
      <c r="N206" s="333" t="s">
        <v>568</v>
      </c>
      <c r="O206" s="305" t="s">
        <v>67</v>
      </c>
      <c r="P206" s="272">
        <v>1</v>
      </c>
      <c r="Q206" s="272">
        <v>1</v>
      </c>
      <c r="R206" s="281">
        <v>2024003630068</v>
      </c>
      <c r="S206" s="464" t="s">
        <v>580</v>
      </c>
      <c r="T206" s="328"/>
      <c r="U206" s="328"/>
      <c r="V206" s="328"/>
      <c r="W206" s="328"/>
      <c r="X206" s="328"/>
      <c r="Y206" s="328"/>
      <c r="Z206" s="328"/>
      <c r="AA206" s="328"/>
      <c r="AB206" s="328"/>
      <c r="AC206" s="328"/>
      <c r="AD206" s="328"/>
      <c r="AE206" s="328"/>
      <c r="AF206" s="328"/>
      <c r="AG206" s="328"/>
      <c r="AH206" s="328"/>
      <c r="AI206" s="328"/>
      <c r="AJ206" s="328"/>
      <c r="AK206" s="328"/>
      <c r="AL206" s="328">
        <v>30000000</v>
      </c>
      <c r="AM206" s="328">
        <v>25150000</v>
      </c>
      <c r="AN206" s="328">
        <v>14800000</v>
      </c>
      <c r="AO206" s="328"/>
      <c r="AP206" s="328"/>
      <c r="AQ206" s="328"/>
      <c r="AR206" s="328"/>
      <c r="AS206" s="328"/>
      <c r="AT206" s="328"/>
      <c r="AU206" s="328">
        <f t="shared" si="11"/>
        <v>30000000</v>
      </c>
      <c r="AV206" s="328">
        <f t="shared" si="12"/>
        <v>25150000</v>
      </c>
      <c r="AW206" s="328">
        <f t="shared" si="13"/>
        <v>14800000</v>
      </c>
      <c r="AX206" s="462" t="s">
        <v>437</v>
      </c>
      <c r="AY206" s="331"/>
      <c r="AZ206" s="331"/>
      <c r="BA206" s="331"/>
      <c r="BB206" s="331"/>
      <c r="BC206" s="331"/>
      <c r="BD206" s="331"/>
      <c r="BE206" s="331"/>
      <c r="BF206" s="331"/>
      <c r="BG206" s="331"/>
      <c r="BH206" s="331"/>
      <c r="BI206" s="331"/>
      <c r="BJ206" s="331"/>
      <c r="BK206" s="331"/>
      <c r="BL206" s="331"/>
      <c r="BM206" s="331"/>
      <c r="BN206" s="331"/>
      <c r="BO206" s="331"/>
      <c r="BP206" s="331"/>
      <c r="BQ206" s="331"/>
      <c r="BR206" s="331"/>
      <c r="BS206" s="331"/>
      <c r="BT206" s="331"/>
      <c r="BU206" s="331"/>
      <c r="BV206" s="331"/>
      <c r="BW206" s="331"/>
      <c r="BX206" s="331"/>
      <c r="BY206" s="331"/>
      <c r="BZ206" s="331"/>
      <c r="CA206" s="331"/>
      <c r="CB206" s="331"/>
      <c r="CC206" s="331"/>
      <c r="CD206" s="331"/>
      <c r="CE206" s="331"/>
      <c r="CF206" s="331"/>
      <c r="CG206" s="331"/>
      <c r="CH206" s="331"/>
      <c r="CI206" s="331"/>
      <c r="CJ206" s="331"/>
      <c r="CK206" s="331"/>
      <c r="CL206" s="331"/>
      <c r="CM206" s="331"/>
      <c r="CN206" s="331"/>
      <c r="CO206" s="331"/>
      <c r="CP206" s="331"/>
      <c r="CQ206" s="331"/>
      <c r="CR206" s="331"/>
      <c r="CS206" s="331"/>
      <c r="CT206" s="331"/>
      <c r="CU206" s="331"/>
      <c r="CV206" s="331"/>
      <c r="CW206" s="331"/>
      <c r="CX206" s="331"/>
      <c r="CY206" s="331"/>
      <c r="CZ206" s="331"/>
      <c r="DA206" s="331"/>
      <c r="DB206" s="331"/>
      <c r="DC206" s="331"/>
      <c r="DD206" s="331"/>
      <c r="DE206" s="331"/>
      <c r="DF206" s="331"/>
      <c r="DG206" s="331"/>
      <c r="DH206" s="331"/>
      <c r="DI206" s="331"/>
      <c r="DJ206" s="331"/>
      <c r="DK206" s="331"/>
      <c r="DL206" s="331"/>
      <c r="DM206" s="331"/>
      <c r="DN206" s="331"/>
      <c r="DO206" s="331"/>
      <c r="DP206" s="331"/>
      <c r="DQ206" s="331"/>
      <c r="DR206" s="331"/>
      <c r="DS206" s="331"/>
      <c r="DT206" s="331"/>
      <c r="DU206" s="331"/>
      <c r="DV206" s="331"/>
      <c r="DW206" s="331"/>
      <c r="DX206" s="331"/>
      <c r="DY206" s="331"/>
    </row>
    <row r="207" spans="1:129" s="332" customFormat="1" ht="63.75" x14ac:dyDescent="0.25">
      <c r="A207" s="259">
        <v>312</v>
      </c>
      <c r="B207" s="325" t="s">
        <v>431</v>
      </c>
      <c r="C207" s="259"/>
      <c r="D207" s="386"/>
      <c r="E207" s="259">
        <v>2</v>
      </c>
      <c r="F207" s="386" t="s">
        <v>455</v>
      </c>
      <c r="G207" s="272">
        <v>32</v>
      </c>
      <c r="H207" s="333" t="s">
        <v>160</v>
      </c>
      <c r="I207" s="272" t="s">
        <v>564</v>
      </c>
      <c r="J207" s="333" t="s">
        <v>565</v>
      </c>
      <c r="K207" s="281" t="s">
        <v>582</v>
      </c>
      <c r="L207" s="333" t="s">
        <v>570</v>
      </c>
      <c r="M207" s="267">
        <v>320601400</v>
      </c>
      <c r="N207" s="333" t="s">
        <v>572</v>
      </c>
      <c r="O207" s="305" t="s">
        <v>67</v>
      </c>
      <c r="P207" s="303">
        <v>10000</v>
      </c>
      <c r="Q207" s="303">
        <v>5840</v>
      </c>
      <c r="R207" s="281">
        <v>2024003630068</v>
      </c>
      <c r="S207" s="464" t="s">
        <v>580</v>
      </c>
      <c r="T207" s="328"/>
      <c r="U207" s="328"/>
      <c r="V207" s="328"/>
      <c r="W207" s="328"/>
      <c r="X207" s="328"/>
      <c r="Y207" s="328"/>
      <c r="Z207" s="328"/>
      <c r="AA207" s="328"/>
      <c r="AB207" s="328"/>
      <c r="AC207" s="328"/>
      <c r="AD207" s="328"/>
      <c r="AE207" s="328"/>
      <c r="AF207" s="328"/>
      <c r="AG207" s="328"/>
      <c r="AH207" s="328"/>
      <c r="AI207" s="328"/>
      <c r="AJ207" s="328"/>
      <c r="AK207" s="328"/>
      <c r="AL207" s="328">
        <v>34400000</v>
      </c>
      <c r="AM207" s="328">
        <v>17626666</v>
      </c>
      <c r="AN207" s="328">
        <v>9800000</v>
      </c>
      <c r="AO207" s="328"/>
      <c r="AP207" s="328"/>
      <c r="AQ207" s="328"/>
      <c r="AR207" s="328"/>
      <c r="AS207" s="328"/>
      <c r="AT207" s="328"/>
      <c r="AU207" s="328">
        <f t="shared" si="11"/>
        <v>34400000</v>
      </c>
      <c r="AV207" s="328">
        <f t="shared" si="12"/>
        <v>17626666</v>
      </c>
      <c r="AW207" s="328">
        <f t="shared" si="13"/>
        <v>9800000</v>
      </c>
      <c r="AX207" s="462" t="s">
        <v>437</v>
      </c>
      <c r="AY207" s="331"/>
      <c r="AZ207" s="331"/>
      <c r="BA207" s="331"/>
      <c r="BB207" s="331"/>
      <c r="BC207" s="331"/>
      <c r="BD207" s="331"/>
      <c r="BE207" s="331"/>
      <c r="BF207" s="331"/>
      <c r="BG207" s="331"/>
      <c r="BH207" s="331"/>
      <c r="BI207" s="331"/>
      <c r="BJ207" s="331"/>
      <c r="BK207" s="331"/>
      <c r="BL207" s="331"/>
      <c r="BM207" s="331"/>
      <c r="BN207" s="331"/>
      <c r="BO207" s="331"/>
      <c r="BP207" s="331"/>
      <c r="BQ207" s="331"/>
      <c r="BR207" s="331"/>
      <c r="BS207" s="331"/>
      <c r="BT207" s="331"/>
      <c r="BU207" s="331"/>
      <c r="BV207" s="331"/>
      <c r="BW207" s="331"/>
      <c r="BX207" s="331"/>
      <c r="BY207" s="331"/>
      <c r="BZ207" s="331"/>
      <c r="CA207" s="331"/>
      <c r="CB207" s="331"/>
      <c r="CC207" s="331"/>
      <c r="CD207" s="331"/>
      <c r="CE207" s="331"/>
      <c r="CF207" s="331"/>
      <c r="CG207" s="331"/>
      <c r="CH207" s="331"/>
      <c r="CI207" s="331"/>
      <c r="CJ207" s="331"/>
      <c r="CK207" s="331"/>
      <c r="CL207" s="331"/>
      <c r="CM207" s="331"/>
      <c r="CN207" s="331"/>
      <c r="CO207" s="331"/>
      <c r="CP207" s="331"/>
      <c r="CQ207" s="331"/>
      <c r="CR207" s="331"/>
      <c r="CS207" s="331"/>
      <c r="CT207" s="331"/>
      <c r="CU207" s="331"/>
      <c r="CV207" s="331"/>
      <c r="CW207" s="331"/>
      <c r="CX207" s="331"/>
      <c r="CY207" s="331"/>
      <c r="CZ207" s="331"/>
      <c r="DA207" s="331"/>
      <c r="DB207" s="331"/>
      <c r="DC207" s="331"/>
      <c r="DD207" s="331"/>
      <c r="DE207" s="331"/>
      <c r="DF207" s="331"/>
      <c r="DG207" s="331"/>
      <c r="DH207" s="331"/>
      <c r="DI207" s="331"/>
      <c r="DJ207" s="331"/>
      <c r="DK207" s="331"/>
      <c r="DL207" s="331"/>
      <c r="DM207" s="331"/>
      <c r="DN207" s="331"/>
      <c r="DO207" s="331"/>
      <c r="DP207" s="331"/>
      <c r="DQ207" s="331"/>
      <c r="DR207" s="331"/>
      <c r="DS207" s="331"/>
      <c r="DT207" s="331"/>
      <c r="DU207" s="331"/>
      <c r="DV207" s="331"/>
      <c r="DW207" s="331"/>
      <c r="DX207" s="331"/>
      <c r="DY207" s="331"/>
    </row>
    <row r="208" spans="1:129" s="332" customFormat="1" ht="76.5" x14ac:dyDescent="0.25">
      <c r="A208" s="259">
        <v>312</v>
      </c>
      <c r="B208" s="325" t="s">
        <v>431</v>
      </c>
      <c r="C208" s="259"/>
      <c r="D208" s="386"/>
      <c r="E208" s="259">
        <v>2</v>
      </c>
      <c r="F208" s="386" t="s">
        <v>455</v>
      </c>
      <c r="G208" s="272">
        <v>32</v>
      </c>
      <c r="H208" s="333" t="s">
        <v>160</v>
      </c>
      <c r="I208" s="272" t="s">
        <v>564</v>
      </c>
      <c r="J208" s="333" t="s">
        <v>565</v>
      </c>
      <c r="K208" s="333">
        <v>3206003</v>
      </c>
      <c r="L208" s="333" t="s">
        <v>583</v>
      </c>
      <c r="M208" s="267">
        <v>320600300</v>
      </c>
      <c r="N208" s="333" t="s">
        <v>584</v>
      </c>
      <c r="O208" s="305" t="s">
        <v>26</v>
      </c>
      <c r="P208" s="272">
        <v>1</v>
      </c>
      <c r="Q208" s="272">
        <v>0</v>
      </c>
      <c r="R208" s="281">
        <v>2024003630068</v>
      </c>
      <c r="S208" s="464" t="s">
        <v>580</v>
      </c>
      <c r="T208" s="328"/>
      <c r="U208" s="328"/>
      <c r="V208" s="328"/>
      <c r="W208" s="328"/>
      <c r="X208" s="328"/>
      <c r="Y208" s="328"/>
      <c r="Z208" s="328"/>
      <c r="AA208" s="328"/>
      <c r="AB208" s="328"/>
      <c r="AC208" s="328"/>
      <c r="AD208" s="328"/>
      <c r="AE208" s="328"/>
      <c r="AF208" s="328"/>
      <c r="AG208" s="328"/>
      <c r="AH208" s="328"/>
      <c r="AI208" s="328"/>
      <c r="AJ208" s="328"/>
      <c r="AK208" s="328"/>
      <c r="AL208" s="328">
        <v>10000000</v>
      </c>
      <c r="AM208" s="328">
        <v>10000000</v>
      </c>
      <c r="AN208" s="328">
        <v>3700000</v>
      </c>
      <c r="AO208" s="328"/>
      <c r="AP208" s="328"/>
      <c r="AQ208" s="328"/>
      <c r="AR208" s="328"/>
      <c r="AS208" s="328"/>
      <c r="AT208" s="328"/>
      <c r="AU208" s="328">
        <f t="shared" si="11"/>
        <v>10000000</v>
      </c>
      <c r="AV208" s="328">
        <f t="shared" si="12"/>
        <v>10000000</v>
      </c>
      <c r="AW208" s="328">
        <f t="shared" si="13"/>
        <v>3700000</v>
      </c>
      <c r="AX208" s="462" t="s">
        <v>437</v>
      </c>
      <c r="AY208" s="331"/>
      <c r="AZ208" s="331"/>
      <c r="BA208" s="331"/>
      <c r="BB208" s="331"/>
      <c r="BC208" s="331"/>
      <c r="BD208" s="331"/>
      <c r="BE208" s="331"/>
      <c r="BF208" s="331"/>
      <c r="BG208" s="331"/>
      <c r="BH208" s="331"/>
      <c r="BI208" s="331"/>
      <c r="BJ208" s="331"/>
      <c r="BK208" s="331"/>
      <c r="BL208" s="331"/>
      <c r="BM208" s="331"/>
      <c r="BN208" s="331"/>
      <c r="BO208" s="331"/>
      <c r="BP208" s="331"/>
      <c r="BQ208" s="331"/>
      <c r="BR208" s="331"/>
      <c r="BS208" s="331"/>
      <c r="BT208" s="331"/>
      <c r="BU208" s="331"/>
      <c r="BV208" s="331"/>
      <c r="BW208" s="331"/>
      <c r="BX208" s="331"/>
      <c r="BY208" s="331"/>
      <c r="BZ208" s="331"/>
      <c r="CA208" s="331"/>
      <c r="CB208" s="331"/>
      <c r="CC208" s="331"/>
      <c r="CD208" s="331"/>
      <c r="CE208" s="331"/>
      <c r="CF208" s="331"/>
      <c r="CG208" s="331"/>
      <c r="CH208" s="331"/>
      <c r="CI208" s="331"/>
      <c r="CJ208" s="331"/>
      <c r="CK208" s="331"/>
      <c r="CL208" s="331"/>
      <c r="CM208" s="331"/>
      <c r="CN208" s="331"/>
      <c r="CO208" s="331"/>
      <c r="CP208" s="331"/>
      <c r="CQ208" s="331"/>
      <c r="CR208" s="331"/>
      <c r="CS208" s="331"/>
      <c r="CT208" s="331"/>
      <c r="CU208" s="331"/>
      <c r="CV208" s="331"/>
      <c r="CW208" s="331"/>
      <c r="CX208" s="331"/>
      <c r="CY208" s="331"/>
      <c r="CZ208" s="331"/>
      <c r="DA208" s="331"/>
      <c r="DB208" s="331"/>
      <c r="DC208" s="331"/>
      <c r="DD208" s="331"/>
      <c r="DE208" s="331"/>
      <c r="DF208" s="331"/>
      <c r="DG208" s="331"/>
      <c r="DH208" s="331"/>
      <c r="DI208" s="331"/>
      <c r="DJ208" s="331"/>
      <c r="DK208" s="331"/>
      <c r="DL208" s="331"/>
      <c r="DM208" s="331"/>
      <c r="DN208" s="331"/>
      <c r="DO208" s="331"/>
      <c r="DP208" s="331"/>
      <c r="DQ208" s="331"/>
      <c r="DR208" s="331"/>
      <c r="DS208" s="331"/>
      <c r="DT208" s="331"/>
      <c r="DU208" s="331"/>
      <c r="DV208" s="331"/>
      <c r="DW208" s="331"/>
      <c r="DX208" s="331"/>
      <c r="DY208" s="331"/>
    </row>
    <row r="209" spans="1:129" s="332" customFormat="1" ht="63.75" x14ac:dyDescent="0.25">
      <c r="A209" s="259">
        <v>312</v>
      </c>
      <c r="B209" s="325" t="s">
        <v>431</v>
      </c>
      <c r="C209" s="259"/>
      <c r="D209" s="386"/>
      <c r="E209" s="259">
        <v>2</v>
      </c>
      <c r="F209" s="386" t="s">
        <v>455</v>
      </c>
      <c r="G209" s="272">
        <v>32</v>
      </c>
      <c r="H209" s="333" t="s">
        <v>160</v>
      </c>
      <c r="I209" s="305">
        <v>3208</v>
      </c>
      <c r="J209" s="333" t="s">
        <v>585</v>
      </c>
      <c r="K209" s="313" t="s">
        <v>586</v>
      </c>
      <c r="L209" s="333" t="s">
        <v>587</v>
      </c>
      <c r="M209" s="266">
        <v>320801000</v>
      </c>
      <c r="N209" s="333" t="s">
        <v>294</v>
      </c>
      <c r="O209" s="305" t="s">
        <v>67</v>
      </c>
      <c r="P209" s="303">
        <v>1500</v>
      </c>
      <c r="Q209" s="303">
        <v>467</v>
      </c>
      <c r="R209" s="281">
        <v>2024003630080</v>
      </c>
      <c r="S209" s="464" t="s">
        <v>588</v>
      </c>
      <c r="T209" s="328"/>
      <c r="U209" s="328"/>
      <c r="V209" s="328"/>
      <c r="W209" s="328"/>
      <c r="X209" s="328"/>
      <c r="Y209" s="328"/>
      <c r="Z209" s="328"/>
      <c r="AA209" s="328"/>
      <c r="AB209" s="328"/>
      <c r="AC209" s="328"/>
      <c r="AD209" s="328"/>
      <c r="AE209" s="328"/>
      <c r="AF209" s="328"/>
      <c r="AG209" s="328"/>
      <c r="AH209" s="328"/>
      <c r="AI209" s="328"/>
      <c r="AJ209" s="328"/>
      <c r="AK209" s="328"/>
      <c r="AL209" s="328">
        <v>44500001</v>
      </c>
      <c r="AM209" s="328">
        <v>40173333</v>
      </c>
      <c r="AN209" s="328">
        <v>22400000</v>
      </c>
      <c r="AO209" s="328"/>
      <c r="AP209" s="328"/>
      <c r="AQ209" s="328"/>
      <c r="AR209" s="328"/>
      <c r="AS209" s="328"/>
      <c r="AT209" s="328"/>
      <c r="AU209" s="328">
        <f t="shared" si="11"/>
        <v>44500001</v>
      </c>
      <c r="AV209" s="328">
        <f t="shared" si="12"/>
        <v>40173333</v>
      </c>
      <c r="AW209" s="328">
        <f t="shared" si="13"/>
        <v>22400000</v>
      </c>
      <c r="AX209" s="462" t="s">
        <v>437</v>
      </c>
      <c r="AY209" s="331"/>
      <c r="AZ209" s="331"/>
      <c r="BA209" s="331"/>
      <c r="BB209" s="331"/>
      <c r="BC209" s="331"/>
      <c r="BD209" s="331"/>
      <c r="BE209" s="331"/>
      <c r="BF209" s="331"/>
      <c r="BG209" s="331"/>
      <c r="BH209" s="331"/>
      <c r="BI209" s="331"/>
      <c r="BJ209" s="331"/>
      <c r="BK209" s="331"/>
      <c r="BL209" s="331"/>
      <c r="BM209" s="331"/>
      <c r="BN209" s="331"/>
      <c r="BO209" s="331"/>
      <c r="BP209" s="331"/>
      <c r="BQ209" s="331"/>
      <c r="BR209" s="331"/>
      <c r="BS209" s="331"/>
      <c r="BT209" s="331"/>
      <c r="BU209" s="331"/>
      <c r="BV209" s="331"/>
      <c r="BW209" s="331"/>
      <c r="BX209" s="331"/>
      <c r="BY209" s="331"/>
      <c r="BZ209" s="331"/>
      <c r="CA209" s="331"/>
      <c r="CB209" s="331"/>
      <c r="CC209" s="331"/>
      <c r="CD209" s="331"/>
      <c r="CE209" s="331"/>
      <c r="CF209" s="331"/>
      <c r="CG209" s="331"/>
      <c r="CH209" s="331"/>
      <c r="CI209" s="331"/>
      <c r="CJ209" s="331"/>
      <c r="CK209" s="331"/>
      <c r="CL209" s="331"/>
      <c r="CM209" s="331"/>
      <c r="CN209" s="331"/>
      <c r="CO209" s="331"/>
      <c r="CP209" s="331"/>
      <c r="CQ209" s="331"/>
      <c r="CR209" s="331"/>
      <c r="CS209" s="331"/>
      <c r="CT209" s="331"/>
      <c r="CU209" s="331"/>
      <c r="CV209" s="331"/>
      <c r="CW209" s="331"/>
      <c r="CX209" s="331"/>
      <c r="CY209" s="331"/>
      <c r="CZ209" s="331"/>
      <c r="DA209" s="331"/>
      <c r="DB209" s="331"/>
      <c r="DC209" s="331"/>
      <c r="DD209" s="331"/>
      <c r="DE209" s="331"/>
      <c r="DF209" s="331"/>
      <c r="DG209" s="331"/>
      <c r="DH209" s="331"/>
      <c r="DI209" s="331"/>
      <c r="DJ209" s="331"/>
      <c r="DK209" s="331"/>
      <c r="DL209" s="331"/>
      <c r="DM209" s="331"/>
      <c r="DN209" s="331"/>
      <c r="DO209" s="331"/>
      <c r="DP209" s="331"/>
      <c r="DQ209" s="331"/>
      <c r="DR209" s="331"/>
      <c r="DS209" s="331"/>
      <c r="DT209" s="331"/>
      <c r="DU209" s="331"/>
      <c r="DV209" s="331"/>
      <c r="DW209" s="331"/>
      <c r="DX209" s="331"/>
      <c r="DY209" s="331"/>
    </row>
    <row r="210" spans="1:129" s="332" customFormat="1" ht="51" x14ac:dyDescent="0.25">
      <c r="A210" s="259">
        <v>312</v>
      </c>
      <c r="B210" s="325" t="s">
        <v>431</v>
      </c>
      <c r="C210" s="259"/>
      <c r="D210" s="386"/>
      <c r="E210" s="259">
        <v>4</v>
      </c>
      <c r="F210" s="386" t="s">
        <v>102</v>
      </c>
      <c r="G210" s="343" t="s">
        <v>29</v>
      </c>
      <c r="H210" s="386" t="s">
        <v>22</v>
      </c>
      <c r="I210" s="305">
        <v>4501</v>
      </c>
      <c r="J210" s="333" t="s">
        <v>277</v>
      </c>
      <c r="K210" s="272" t="s">
        <v>589</v>
      </c>
      <c r="L210" s="333" t="s">
        <v>590</v>
      </c>
      <c r="M210" s="270" t="s">
        <v>591</v>
      </c>
      <c r="N210" s="468" t="s">
        <v>592</v>
      </c>
      <c r="O210" s="305" t="s">
        <v>26</v>
      </c>
      <c r="P210" s="272">
        <v>3</v>
      </c>
      <c r="Q210" s="272">
        <v>0</v>
      </c>
      <c r="R210" s="281">
        <v>2024003630062</v>
      </c>
      <c r="S210" s="464" t="s">
        <v>593</v>
      </c>
      <c r="T210" s="328"/>
      <c r="U210" s="328"/>
      <c r="V210" s="328"/>
      <c r="W210" s="328"/>
      <c r="X210" s="328"/>
      <c r="Y210" s="328"/>
      <c r="Z210" s="328"/>
      <c r="AA210" s="328"/>
      <c r="AB210" s="328"/>
      <c r="AC210" s="328"/>
      <c r="AD210" s="328"/>
      <c r="AE210" s="328"/>
      <c r="AF210" s="328"/>
      <c r="AG210" s="328"/>
      <c r="AH210" s="328"/>
      <c r="AI210" s="328"/>
      <c r="AJ210" s="328"/>
      <c r="AK210" s="328"/>
      <c r="AL210" s="328">
        <v>32000000</v>
      </c>
      <c r="AM210" s="328">
        <v>32000000</v>
      </c>
      <c r="AN210" s="328">
        <v>23400000</v>
      </c>
      <c r="AO210" s="328"/>
      <c r="AP210" s="328"/>
      <c r="AQ210" s="328"/>
      <c r="AR210" s="328"/>
      <c r="AS210" s="328"/>
      <c r="AT210" s="328"/>
      <c r="AU210" s="328">
        <f t="shared" si="11"/>
        <v>32000000</v>
      </c>
      <c r="AV210" s="328">
        <f t="shared" si="12"/>
        <v>32000000</v>
      </c>
      <c r="AW210" s="328">
        <f t="shared" si="13"/>
        <v>23400000</v>
      </c>
      <c r="AX210" s="462" t="s">
        <v>437</v>
      </c>
      <c r="AY210" s="331"/>
      <c r="AZ210" s="331"/>
      <c r="BA210" s="331"/>
      <c r="BB210" s="331"/>
      <c r="BC210" s="331"/>
      <c r="BD210" s="331"/>
      <c r="BE210" s="331"/>
      <c r="BF210" s="331"/>
      <c r="BG210" s="331"/>
      <c r="BH210" s="331"/>
      <c r="BI210" s="331"/>
      <c r="BJ210" s="331"/>
      <c r="BK210" s="331"/>
      <c r="BL210" s="331"/>
      <c r="BM210" s="331"/>
      <c r="BN210" s="331"/>
      <c r="BO210" s="331"/>
      <c r="BP210" s="331"/>
      <c r="BQ210" s="331"/>
      <c r="BR210" s="331"/>
      <c r="BS210" s="331"/>
      <c r="BT210" s="331"/>
      <c r="BU210" s="331"/>
      <c r="BV210" s="331"/>
      <c r="BW210" s="331"/>
      <c r="BX210" s="331"/>
      <c r="BY210" s="331"/>
      <c r="BZ210" s="331"/>
      <c r="CA210" s="331"/>
      <c r="CB210" s="331"/>
      <c r="CC210" s="331"/>
      <c r="CD210" s="331"/>
      <c r="CE210" s="331"/>
      <c r="CF210" s="331"/>
      <c r="CG210" s="331"/>
      <c r="CH210" s="331"/>
      <c r="CI210" s="331"/>
      <c r="CJ210" s="331"/>
      <c r="CK210" s="331"/>
      <c r="CL210" s="331"/>
      <c r="CM210" s="331"/>
      <c r="CN210" s="331"/>
      <c r="CO210" s="331"/>
      <c r="CP210" s="331"/>
      <c r="CQ210" s="331"/>
      <c r="CR210" s="331"/>
      <c r="CS210" s="331"/>
      <c r="CT210" s="331"/>
      <c r="CU210" s="331"/>
      <c r="CV210" s="331"/>
      <c r="CW210" s="331"/>
      <c r="CX210" s="331"/>
      <c r="CY210" s="331"/>
      <c r="CZ210" s="331"/>
      <c r="DA210" s="331"/>
      <c r="DB210" s="331"/>
      <c r="DC210" s="331"/>
      <c r="DD210" s="331"/>
      <c r="DE210" s="331"/>
      <c r="DF210" s="331"/>
      <c r="DG210" s="331"/>
      <c r="DH210" s="331"/>
      <c r="DI210" s="331"/>
      <c r="DJ210" s="331"/>
      <c r="DK210" s="331"/>
      <c r="DL210" s="331"/>
      <c r="DM210" s="331"/>
      <c r="DN210" s="331"/>
      <c r="DO210" s="331"/>
      <c r="DP210" s="331"/>
      <c r="DQ210" s="331"/>
      <c r="DR210" s="331"/>
      <c r="DS210" s="331"/>
      <c r="DT210" s="331"/>
      <c r="DU210" s="331"/>
      <c r="DV210" s="331"/>
      <c r="DW210" s="331"/>
      <c r="DX210" s="331"/>
      <c r="DY210" s="331"/>
    </row>
    <row r="211" spans="1:129" s="332" customFormat="1" ht="51" x14ac:dyDescent="0.25">
      <c r="A211" s="259">
        <v>312</v>
      </c>
      <c r="B211" s="325" t="s">
        <v>431</v>
      </c>
      <c r="C211" s="259"/>
      <c r="D211" s="386"/>
      <c r="E211" s="259">
        <v>4</v>
      </c>
      <c r="F211" s="386" t="s">
        <v>102</v>
      </c>
      <c r="G211" s="343" t="s">
        <v>29</v>
      </c>
      <c r="H211" s="386" t="s">
        <v>22</v>
      </c>
      <c r="I211" s="305">
        <v>4501</v>
      </c>
      <c r="J211" s="333" t="s">
        <v>277</v>
      </c>
      <c r="K211" s="282" t="s">
        <v>594</v>
      </c>
      <c r="L211" s="333" t="s">
        <v>293</v>
      </c>
      <c r="M211" s="270">
        <v>450104905</v>
      </c>
      <c r="N211" s="468" t="s">
        <v>378</v>
      </c>
      <c r="O211" s="305" t="s">
        <v>67</v>
      </c>
      <c r="P211" s="272">
        <v>25</v>
      </c>
      <c r="Q211" s="272">
        <v>15</v>
      </c>
      <c r="R211" s="281">
        <v>2024003630062</v>
      </c>
      <c r="S211" s="464" t="s">
        <v>593</v>
      </c>
      <c r="T211" s="328"/>
      <c r="U211" s="328"/>
      <c r="V211" s="328"/>
      <c r="W211" s="328"/>
      <c r="X211" s="328"/>
      <c r="Y211" s="328"/>
      <c r="Z211" s="328"/>
      <c r="AA211" s="328"/>
      <c r="AB211" s="328"/>
      <c r="AC211" s="328"/>
      <c r="AD211" s="328"/>
      <c r="AE211" s="328"/>
      <c r="AF211" s="328"/>
      <c r="AG211" s="328"/>
      <c r="AH211" s="328"/>
      <c r="AI211" s="328"/>
      <c r="AJ211" s="328"/>
      <c r="AK211" s="328"/>
      <c r="AL211" s="328">
        <v>42000000</v>
      </c>
      <c r="AM211" s="328">
        <v>22110000</v>
      </c>
      <c r="AN211" s="328">
        <v>11000000</v>
      </c>
      <c r="AO211" s="328"/>
      <c r="AP211" s="328"/>
      <c r="AQ211" s="328"/>
      <c r="AR211" s="328"/>
      <c r="AS211" s="328"/>
      <c r="AT211" s="328"/>
      <c r="AU211" s="328">
        <f t="shared" si="11"/>
        <v>42000000</v>
      </c>
      <c r="AV211" s="328">
        <f t="shared" si="12"/>
        <v>22110000</v>
      </c>
      <c r="AW211" s="328">
        <f t="shared" si="13"/>
        <v>11000000</v>
      </c>
      <c r="AX211" s="462" t="s">
        <v>437</v>
      </c>
      <c r="AY211" s="331"/>
      <c r="AZ211" s="331"/>
      <c r="BA211" s="331"/>
      <c r="BB211" s="331"/>
      <c r="BC211" s="331"/>
      <c r="BD211" s="331"/>
      <c r="BE211" s="331"/>
      <c r="BF211" s="331"/>
      <c r="BG211" s="331"/>
      <c r="BH211" s="331"/>
      <c r="BI211" s="331"/>
      <c r="BJ211" s="331"/>
      <c r="BK211" s="331"/>
      <c r="BL211" s="331"/>
      <c r="BM211" s="331"/>
      <c r="BN211" s="331"/>
      <c r="BO211" s="331"/>
      <c r="BP211" s="331"/>
      <c r="BQ211" s="331"/>
      <c r="BR211" s="331"/>
      <c r="BS211" s="331"/>
      <c r="BT211" s="331"/>
      <c r="BU211" s="331"/>
      <c r="BV211" s="331"/>
      <c r="BW211" s="331"/>
      <c r="BX211" s="331"/>
      <c r="BY211" s="331"/>
      <c r="BZ211" s="331"/>
      <c r="CA211" s="331"/>
      <c r="CB211" s="331"/>
      <c r="CC211" s="331"/>
      <c r="CD211" s="331"/>
      <c r="CE211" s="331"/>
      <c r="CF211" s="331"/>
      <c r="CG211" s="331"/>
      <c r="CH211" s="331"/>
      <c r="CI211" s="331"/>
      <c r="CJ211" s="331"/>
      <c r="CK211" s="331"/>
      <c r="CL211" s="331"/>
      <c r="CM211" s="331"/>
      <c r="CN211" s="331"/>
      <c r="CO211" s="331"/>
      <c r="CP211" s="331"/>
      <c r="CQ211" s="331"/>
      <c r="CR211" s="331"/>
      <c r="CS211" s="331"/>
      <c r="CT211" s="331"/>
      <c r="CU211" s="331"/>
      <c r="CV211" s="331"/>
      <c r="CW211" s="331"/>
      <c r="CX211" s="331"/>
      <c r="CY211" s="331"/>
      <c r="CZ211" s="331"/>
      <c r="DA211" s="331"/>
      <c r="DB211" s="331"/>
      <c r="DC211" s="331"/>
      <c r="DD211" s="331"/>
      <c r="DE211" s="331"/>
      <c r="DF211" s="331"/>
      <c r="DG211" s="331"/>
      <c r="DH211" s="331"/>
      <c r="DI211" s="331"/>
      <c r="DJ211" s="331"/>
      <c r="DK211" s="331"/>
      <c r="DL211" s="331"/>
      <c r="DM211" s="331"/>
      <c r="DN211" s="331"/>
      <c r="DO211" s="331"/>
      <c r="DP211" s="331"/>
      <c r="DQ211" s="331"/>
      <c r="DR211" s="331"/>
      <c r="DS211" s="331"/>
      <c r="DT211" s="331"/>
      <c r="DU211" s="331"/>
      <c r="DV211" s="331"/>
      <c r="DW211" s="331"/>
      <c r="DX211" s="331"/>
      <c r="DY211" s="331"/>
    </row>
    <row r="212" spans="1:129" s="332" customFormat="1" ht="51" x14ac:dyDescent="0.25">
      <c r="A212" s="259">
        <v>312</v>
      </c>
      <c r="B212" s="325" t="s">
        <v>431</v>
      </c>
      <c r="C212" s="259"/>
      <c r="D212" s="386"/>
      <c r="E212" s="259">
        <v>4</v>
      </c>
      <c r="F212" s="386" t="s">
        <v>102</v>
      </c>
      <c r="G212" s="343" t="s">
        <v>29</v>
      </c>
      <c r="H212" s="386" t="s">
        <v>22</v>
      </c>
      <c r="I212" s="305">
        <v>4501</v>
      </c>
      <c r="J212" s="385" t="s">
        <v>277</v>
      </c>
      <c r="K212" s="281">
        <v>4501061</v>
      </c>
      <c r="L212" s="385" t="s">
        <v>595</v>
      </c>
      <c r="M212" s="271">
        <v>450106100</v>
      </c>
      <c r="N212" s="402" t="s">
        <v>596</v>
      </c>
      <c r="O212" s="305" t="s">
        <v>67</v>
      </c>
      <c r="P212" s="303">
        <v>1000</v>
      </c>
      <c r="Q212" s="303">
        <v>74</v>
      </c>
      <c r="R212" s="281">
        <v>2024003630062</v>
      </c>
      <c r="S212" s="464" t="s">
        <v>593</v>
      </c>
      <c r="T212" s="328"/>
      <c r="U212" s="328"/>
      <c r="V212" s="328"/>
      <c r="W212" s="328"/>
      <c r="X212" s="328"/>
      <c r="Y212" s="328"/>
      <c r="Z212" s="328"/>
      <c r="AA212" s="328"/>
      <c r="AB212" s="328"/>
      <c r="AC212" s="328"/>
      <c r="AD212" s="328"/>
      <c r="AE212" s="328"/>
      <c r="AF212" s="328"/>
      <c r="AG212" s="328"/>
      <c r="AH212" s="328"/>
      <c r="AI212" s="328"/>
      <c r="AJ212" s="328"/>
      <c r="AK212" s="328"/>
      <c r="AL212" s="328">
        <v>50000000</v>
      </c>
      <c r="AM212" s="328">
        <v>1800000</v>
      </c>
      <c r="AN212" s="328">
        <v>0</v>
      </c>
      <c r="AO212" s="328"/>
      <c r="AP212" s="328"/>
      <c r="AQ212" s="328"/>
      <c r="AR212" s="328"/>
      <c r="AS212" s="328"/>
      <c r="AT212" s="328"/>
      <c r="AU212" s="328">
        <f t="shared" si="11"/>
        <v>50000000</v>
      </c>
      <c r="AV212" s="328">
        <f t="shared" si="12"/>
        <v>1800000</v>
      </c>
      <c r="AW212" s="328">
        <f t="shared" si="13"/>
        <v>0</v>
      </c>
      <c r="AX212" s="462" t="s">
        <v>437</v>
      </c>
      <c r="AY212" s="331"/>
      <c r="AZ212" s="331"/>
      <c r="BA212" s="331"/>
      <c r="BB212" s="331"/>
      <c r="BC212" s="331"/>
      <c r="BD212" s="331"/>
      <c r="BE212" s="331"/>
      <c r="BF212" s="331"/>
      <c r="BG212" s="331"/>
      <c r="BH212" s="331"/>
      <c r="BI212" s="331"/>
      <c r="BJ212" s="331"/>
      <c r="BK212" s="331"/>
      <c r="BL212" s="331"/>
      <c r="BM212" s="331"/>
      <c r="BN212" s="331"/>
      <c r="BO212" s="331"/>
      <c r="BP212" s="331"/>
      <c r="BQ212" s="331"/>
      <c r="BR212" s="331"/>
      <c r="BS212" s="331"/>
      <c r="BT212" s="331"/>
      <c r="BU212" s="331"/>
      <c r="BV212" s="331"/>
      <c r="BW212" s="331"/>
      <c r="BX212" s="331"/>
      <c r="BY212" s="331"/>
      <c r="BZ212" s="331"/>
      <c r="CA212" s="331"/>
      <c r="CB212" s="331"/>
      <c r="CC212" s="331"/>
      <c r="CD212" s="331"/>
      <c r="CE212" s="331"/>
      <c r="CF212" s="331"/>
      <c r="CG212" s="331"/>
      <c r="CH212" s="331"/>
      <c r="CI212" s="331"/>
      <c r="CJ212" s="331"/>
      <c r="CK212" s="331"/>
      <c r="CL212" s="331"/>
      <c r="CM212" s="331"/>
      <c r="CN212" s="331"/>
      <c r="CO212" s="331"/>
      <c r="CP212" s="331"/>
      <c r="CQ212" s="331"/>
      <c r="CR212" s="331"/>
      <c r="CS212" s="331"/>
      <c r="CT212" s="331"/>
      <c r="CU212" s="331"/>
      <c r="CV212" s="331"/>
      <c r="CW212" s="331"/>
      <c r="CX212" s="331"/>
      <c r="CY212" s="331"/>
      <c r="CZ212" s="331"/>
      <c r="DA212" s="331"/>
      <c r="DB212" s="331"/>
      <c r="DC212" s="331"/>
      <c r="DD212" s="331"/>
      <c r="DE212" s="331"/>
      <c r="DF212" s="331"/>
      <c r="DG212" s="331"/>
      <c r="DH212" s="331"/>
      <c r="DI212" s="331"/>
      <c r="DJ212" s="331"/>
      <c r="DK212" s="331"/>
      <c r="DL212" s="331"/>
      <c r="DM212" s="331"/>
      <c r="DN212" s="331"/>
      <c r="DO212" s="331"/>
      <c r="DP212" s="331"/>
      <c r="DQ212" s="331"/>
      <c r="DR212" s="331"/>
      <c r="DS212" s="331"/>
      <c r="DT212" s="331"/>
      <c r="DU212" s="331"/>
      <c r="DV212" s="331"/>
      <c r="DW212" s="331"/>
      <c r="DX212" s="331"/>
      <c r="DY212" s="331"/>
    </row>
    <row r="213" spans="1:129" s="332" customFormat="1" ht="51" x14ac:dyDescent="0.25">
      <c r="A213" s="259">
        <v>312</v>
      </c>
      <c r="B213" s="325" t="s">
        <v>431</v>
      </c>
      <c r="C213" s="259"/>
      <c r="D213" s="386"/>
      <c r="E213" s="259">
        <v>4</v>
      </c>
      <c r="F213" s="386" t="s">
        <v>102</v>
      </c>
      <c r="G213" s="343" t="s">
        <v>29</v>
      </c>
      <c r="H213" s="386" t="s">
        <v>22</v>
      </c>
      <c r="I213" s="305">
        <v>4501</v>
      </c>
      <c r="J213" s="385" t="s">
        <v>277</v>
      </c>
      <c r="K213" s="272">
        <v>4501060</v>
      </c>
      <c r="L213" s="385" t="s">
        <v>597</v>
      </c>
      <c r="M213" s="271">
        <v>450106000</v>
      </c>
      <c r="N213" s="402" t="s">
        <v>597</v>
      </c>
      <c r="O213" s="305" t="s">
        <v>67</v>
      </c>
      <c r="P213" s="259">
        <v>2</v>
      </c>
      <c r="Q213" s="259">
        <v>0</v>
      </c>
      <c r="R213" s="281">
        <v>2024003630062</v>
      </c>
      <c r="S213" s="464" t="s">
        <v>593</v>
      </c>
      <c r="T213" s="328"/>
      <c r="U213" s="328"/>
      <c r="V213" s="328"/>
      <c r="W213" s="328"/>
      <c r="X213" s="328"/>
      <c r="Y213" s="328"/>
      <c r="Z213" s="328"/>
      <c r="AA213" s="328"/>
      <c r="AB213" s="328"/>
      <c r="AC213" s="328"/>
      <c r="AD213" s="328"/>
      <c r="AE213" s="328"/>
      <c r="AF213" s="328"/>
      <c r="AG213" s="328"/>
      <c r="AH213" s="328"/>
      <c r="AI213" s="328"/>
      <c r="AJ213" s="328"/>
      <c r="AK213" s="328"/>
      <c r="AL213" s="328">
        <v>30000000</v>
      </c>
      <c r="AM213" s="328">
        <v>0</v>
      </c>
      <c r="AN213" s="328">
        <v>0</v>
      </c>
      <c r="AO213" s="328"/>
      <c r="AP213" s="328"/>
      <c r="AQ213" s="328"/>
      <c r="AR213" s="328"/>
      <c r="AS213" s="328"/>
      <c r="AT213" s="328"/>
      <c r="AU213" s="328">
        <f t="shared" si="11"/>
        <v>30000000</v>
      </c>
      <c r="AV213" s="328">
        <f t="shared" si="12"/>
        <v>0</v>
      </c>
      <c r="AW213" s="328">
        <f t="shared" si="13"/>
        <v>0</v>
      </c>
      <c r="AX213" s="462" t="s">
        <v>437</v>
      </c>
      <c r="AY213" s="331"/>
      <c r="AZ213" s="331"/>
      <c r="BA213" s="331"/>
      <c r="BB213" s="331"/>
      <c r="BC213" s="331"/>
      <c r="BD213" s="331"/>
      <c r="BE213" s="331"/>
      <c r="BF213" s="331"/>
      <c r="BG213" s="331"/>
      <c r="BH213" s="331"/>
      <c r="BI213" s="331"/>
      <c r="BJ213" s="331"/>
      <c r="BK213" s="331"/>
      <c r="BL213" s="331"/>
      <c r="BM213" s="331"/>
      <c r="BN213" s="331"/>
      <c r="BO213" s="331"/>
      <c r="BP213" s="331"/>
      <c r="BQ213" s="331"/>
      <c r="BR213" s="331"/>
      <c r="BS213" s="331"/>
      <c r="BT213" s="331"/>
      <c r="BU213" s="331"/>
      <c r="BV213" s="331"/>
      <c r="BW213" s="331"/>
      <c r="BX213" s="331"/>
      <c r="BY213" s="331"/>
      <c r="BZ213" s="331"/>
      <c r="CA213" s="331"/>
      <c r="CB213" s="331"/>
      <c r="CC213" s="331"/>
      <c r="CD213" s="331"/>
      <c r="CE213" s="331"/>
      <c r="CF213" s="331"/>
      <c r="CG213" s="331"/>
      <c r="CH213" s="331"/>
      <c r="CI213" s="331"/>
      <c r="CJ213" s="331"/>
      <c r="CK213" s="331"/>
      <c r="CL213" s="331"/>
      <c r="CM213" s="331"/>
      <c r="CN213" s="331"/>
      <c r="CO213" s="331"/>
      <c r="CP213" s="331"/>
      <c r="CQ213" s="331"/>
      <c r="CR213" s="331"/>
      <c r="CS213" s="331"/>
      <c r="CT213" s="331"/>
      <c r="CU213" s="331"/>
      <c r="CV213" s="331"/>
      <c r="CW213" s="331"/>
      <c r="CX213" s="331"/>
      <c r="CY213" s="331"/>
      <c r="CZ213" s="331"/>
      <c r="DA213" s="331"/>
      <c r="DB213" s="331"/>
      <c r="DC213" s="331"/>
      <c r="DD213" s="331"/>
      <c r="DE213" s="331"/>
      <c r="DF213" s="331"/>
      <c r="DG213" s="331"/>
      <c r="DH213" s="331"/>
      <c r="DI213" s="331"/>
      <c r="DJ213" s="331"/>
      <c r="DK213" s="331"/>
      <c r="DL213" s="331"/>
      <c r="DM213" s="331"/>
      <c r="DN213" s="331"/>
      <c r="DO213" s="331"/>
      <c r="DP213" s="331"/>
      <c r="DQ213" s="331"/>
      <c r="DR213" s="331"/>
      <c r="DS213" s="331"/>
      <c r="DT213" s="331"/>
      <c r="DU213" s="331"/>
      <c r="DV213" s="331"/>
      <c r="DW213" s="331"/>
      <c r="DX213" s="331"/>
      <c r="DY213" s="331"/>
    </row>
    <row r="214" spans="1:129" s="332" customFormat="1" ht="51" x14ac:dyDescent="0.25">
      <c r="A214" s="259">
        <v>312</v>
      </c>
      <c r="B214" s="325" t="s">
        <v>431</v>
      </c>
      <c r="C214" s="259"/>
      <c r="D214" s="386"/>
      <c r="E214" s="259">
        <v>4</v>
      </c>
      <c r="F214" s="386" t="s">
        <v>102</v>
      </c>
      <c r="G214" s="343" t="s">
        <v>29</v>
      </c>
      <c r="H214" s="386" t="s">
        <v>22</v>
      </c>
      <c r="I214" s="305">
        <v>4501</v>
      </c>
      <c r="J214" s="385" t="s">
        <v>277</v>
      </c>
      <c r="K214" s="313">
        <v>4501063</v>
      </c>
      <c r="L214" s="385" t="s">
        <v>598</v>
      </c>
      <c r="M214" s="271" t="s">
        <v>599</v>
      </c>
      <c r="N214" s="402" t="s">
        <v>600</v>
      </c>
      <c r="O214" s="305" t="s">
        <v>26</v>
      </c>
      <c r="P214" s="306">
        <v>15</v>
      </c>
      <c r="Q214" s="306">
        <v>0</v>
      </c>
      <c r="R214" s="281">
        <v>2024003630062</v>
      </c>
      <c r="S214" s="464" t="s">
        <v>593</v>
      </c>
      <c r="T214" s="328"/>
      <c r="U214" s="328"/>
      <c r="V214" s="328"/>
      <c r="W214" s="328"/>
      <c r="X214" s="328"/>
      <c r="Y214" s="328"/>
      <c r="Z214" s="328"/>
      <c r="AA214" s="328"/>
      <c r="AB214" s="328"/>
      <c r="AC214" s="328"/>
      <c r="AD214" s="328"/>
      <c r="AE214" s="328"/>
      <c r="AF214" s="328"/>
      <c r="AG214" s="328"/>
      <c r="AH214" s="328"/>
      <c r="AI214" s="328"/>
      <c r="AJ214" s="328"/>
      <c r="AK214" s="328"/>
      <c r="AL214" s="328">
        <v>30433334</v>
      </c>
      <c r="AM214" s="328">
        <v>0</v>
      </c>
      <c r="AN214" s="328">
        <v>0</v>
      </c>
      <c r="AO214" s="328"/>
      <c r="AP214" s="328"/>
      <c r="AQ214" s="328"/>
      <c r="AR214" s="328"/>
      <c r="AS214" s="328"/>
      <c r="AT214" s="328"/>
      <c r="AU214" s="328">
        <f t="shared" si="11"/>
        <v>30433334</v>
      </c>
      <c r="AV214" s="328">
        <f t="shared" si="12"/>
        <v>0</v>
      </c>
      <c r="AW214" s="328">
        <f t="shared" si="13"/>
        <v>0</v>
      </c>
      <c r="AX214" s="462" t="s">
        <v>437</v>
      </c>
      <c r="AY214" s="331"/>
      <c r="AZ214" s="331"/>
      <c r="BA214" s="331"/>
      <c r="BB214" s="331"/>
      <c r="BC214" s="331"/>
      <c r="BD214" s="331"/>
      <c r="BE214" s="331"/>
      <c r="BF214" s="331"/>
      <c r="BG214" s="331"/>
      <c r="BH214" s="331"/>
      <c r="BI214" s="331"/>
      <c r="BJ214" s="331"/>
      <c r="BK214" s="331"/>
      <c r="BL214" s="331"/>
      <c r="BM214" s="331"/>
      <c r="BN214" s="331"/>
      <c r="BO214" s="331"/>
      <c r="BP214" s="331"/>
      <c r="BQ214" s="331"/>
      <c r="BR214" s="331"/>
      <c r="BS214" s="331"/>
      <c r="BT214" s="331"/>
      <c r="BU214" s="331"/>
      <c r="BV214" s="331"/>
      <c r="BW214" s="331"/>
      <c r="BX214" s="331"/>
      <c r="BY214" s="331"/>
      <c r="BZ214" s="331"/>
      <c r="CA214" s="331"/>
      <c r="CB214" s="331"/>
      <c r="CC214" s="331"/>
      <c r="CD214" s="331"/>
      <c r="CE214" s="331"/>
      <c r="CF214" s="331"/>
      <c r="CG214" s="331"/>
      <c r="CH214" s="331"/>
      <c r="CI214" s="331"/>
      <c r="CJ214" s="331"/>
      <c r="CK214" s="331"/>
      <c r="CL214" s="331"/>
      <c r="CM214" s="331"/>
      <c r="CN214" s="331"/>
      <c r="CO214" s="331"/>
      <c r="CP214" s="331"/>
      <c r="CQ214" s="331"/>
      <c r="CR214" s="331"/>
      <c r="CS214" s="331"/>
      <c r="CT214" s="331"/>
      <c r="CU214" s="331"/>
      <c r="CV214" s="331"/>
      <c r="CW214" s="331"/>
      <c r="CX214" s="331"/>
      <c r="CY214" s="331"/>
      <c r="CZ214" s="331"/>
      <c r="DA214" s="331"/>
      <c r="DB214" s="331"/>
      <c r="DC214" s="331"/>
      <c r="DD214" s="331"/>
      <c r="DE214" s="331"/>
      <c r="DF214" s="331"/>
      <c r="DG214" s="331"/>
      <c r="DH214" s="331"/>
      <c r="DI214" s="331"/>
      <c r="DJ214" s="331"/>
      <c r="DK214" s="331"/>
      <c r="DL214" s="331"/>
      <c r="DM214" s="331"/>
      <c r="DN214" s="331"/>
      <c r="DO214" s="331"/>
      <c r="DP214" s="331"/>
      <c r="DQ214" s="331"/>
      <c r="DR214" s="331"/>
      <c r="DS214" s="331"/>
      <c r="DT214" s="331"/>
      <c r="DU214" s="331"/>
      <c r="DV214" s="331"/>
      <c r="DW214" s="331"/>
      <c r="DX214" s="331"/>
      <c r="DY214" s="331"/>
    </row>
    <row r="215" spans="1:129" s="332" customFormat="1" ht="63.75" x14ac:dyDescent="0.25">
      <c r="A215" s="259">
        <v>312</v>
      </c>
      <c r="B215" s="325" t="s">
        <v>431</v>
      </c>
      <c r="C215" s="305"/>
      <c r="D215" s="386"/>
      <c r="E215" s="305">
        <v>2</v>
      </c>
      <c r="F215" s="386" t="s">
        <v>455</v>
      </c>
      <c r="G215" s="259">
        <v>17</v>
      </c>
      <c r="H215" s="325" t="s">
        <v>212</v>
      </c>
      <c r="I215" s="305">
        <v>1704</v>
      </c>
      <c r="J215" s="333" t="s">
        <v>474</v>
      </c>
      <c r="K215" s="259">
        <v>1704006</v>
      </c>
      <c r="L215" s="333" t="s">
        <v>601</v>
      </c>
      <c r="M215" s="272">
        <v>170400601</v>
      </c>
      <c r="N215" s="333" t="s">
        <v>602</v>
      </c>
      <c r="O215" s="306" t="s">
        <v>67</v>
      </c>
      <c r="P215" s="306">
        <v>10</v>
      </c>
      <c r="Q215" s="306">
        <v>0</v>
      </c>
      <c r="R215" s="281">
        <v>2024003630056</v>
      </c>
      <c r="S215" s="464" t="s">
        <v>603</v>
      </c>
      <c r="T215" s="328"/>
      <c r="U215" s="328"/>
      <c r="V215" s="328"/>
      <c r="W215" s="328"/>
      <c r="X215" s="328"/>
      <c r="Y215" s="328"/>
      <c r="Z215" s="328"/>
      <c r="AA215" s="328"/>
      <c r="AB215" s="328"/>
      <c r="AC215" s="328"/>
      <c r="AD215" s="328"/>
      <c r="AE215" s="328"/>
      <c r="AF215" s="328"/>
      <c r="AG215" s="328"/>
      <c r="AH215" s="328"/>
      <c r="AI215" s="328"/>
      <c r="AJ215" s="328"/>
      <c r="AK215" s="328"/>
      <c r="AL215" s="328">
        <v>70000000</v>
      </c>
      <c r="AM215" s="328">
        <v>62813333</v>
      </c>
      <c r="AN215" s="328">
        <v>39400000</v>
      </c>
      <c r="AO215" s="328"/>
      <c r="AP215" s="328"/>
      <c r="AQ215" s="328"/>
      <c r="AR215" s="328"/>
      <c r="AS215" s="328"/>
      <c r="AT215" s="328"/>
      <c r="AU215" s="328">
        <f t="shared" si="11"/>
        <v>70000000</v>
      </c>
      <c r="AV215" s="328">
        <f t="shared" si="12"/>
        <v>62813333</v>
      </c>
      <c r="AW215" s="328">
        <f t="shared" si="13"/>
        <v>39400000</v>
      </c>
      <c r="AX215" s="462" t="s">
        <v>437</v>
      </c>
      <c r="AY215" s="331"/>
      <c r="AZ215" s="331"/>
      <c r="BA215" s="331"/>
      <c r="BB215" s="331"/>
      <c r="BC215" s="331"/>
      <c r="BD215" s="331"/>
      <c r="BE215" s="331"/>
      <c r="BF215" s="331"/>
      <c r="BG215" s="331"/>
      <c r="BH215" s="331"/>
      <c r="BI215" s="331"/>
      <c r="BJ215" s="331"/>
      <c r="BK215" s="331"/>
      <c r="BL215" s="331"/>
      <c r="BM215" s="331"/>
      <c r="BN215" s="331"/>
      <c r="BO215" s="331"/>
      <c r="BP215" s="331"/>
      <c r="BQ215" s="331"/>
      <c r="BR215" s="331"/>
      <c r="BS215" s="331"/>
      <c r="BT215" s="331"/>
      <c r="BU215" s="331"/>
      <c r="BV215" s="331"/>
      <c r="BW215" s="331"/>
      <c r="BX215" s="331"/>
      <c r="BY215" s="331"/>
      <c r="BZ215" s="331"/>
      <c r="CA215" s="331"/>
      <c r="CB215" s="331"/>
      <c r="CC215" s="331"/>
      <c r="CD215" s="331"/>
      <c r="CE215" s="331"/>
      <c r="CF215" s="331"/>
      <c r="CG215" s="331"/>
      <c r="CH215" s="331"/>
      <c r="CI215" s="331"/>
      <c r="CJ215" s="331"/>
      <c r="CK215" s="331"/>
      <c r="CL215" s="331"/>
      <c r="CM215" s="331"/>
      <c r="CN215" s="331"/>
      <c r="CO215" s="331"/>
      <c r="CP215" s="331"/>
      <c r="CQ215" s="331"/>
      <c r="CR215" s="331"/>
      <c r="CS215" s="331"/>
      <c r="CT215" s="331"/>
      <c r="CU215" s="331"/>
      <c r="CV215" s="331"/>
      <c r="CW215" s="331"/>
      <c r="CX215" s="331"/>
      <c r="CY215" s="331"/>
      <c r="CZ215" s="331"/>
      <c r="DA215" s="331"/>
      <c r="DB215" s="331"/>
      <c r="DC215" s="331"/>
      <c r="DD215" s="331"/>
      <c r="DE215" s="331"/>
      <c r="DF215" s="331"/>
      <c r="DG215" s="331"/>
      <c r="DH215" s="331"/>
      <c r="DI215" s="331"/>
      <c r="DJ215" s="331"/>
      <c r="DK215" s="331"/>
      <c r="DL215" s="331"/>
      <c r="DM215" s="331"/>
      <c r="DN215" s="331"/>
      <c r="DO215" s="331"/>
      <c r="DP215" s="331"/>
      <c r="DQ215" s="331"/>
      <c r="DR215" s="331"/>
      <c r="DS215" s="331"/>
      <c r="DT215" s="331"/>
      <c r="DU215" s="331"/>
      <c r="DV215" s="331"/>
      <c r="DW215" s="331"/>
      <c r="DX215" s="331"/>
      <c r="DY215" s="331"/>
    </row>
    <row r="216" spans="1:129" s="459" customFormat="1" ht="63.75" x14ac:dyDescent="0.25">
      <c r="A216" s="292">
        <v>313</v>
      </c>
      <c r="B216" s="454" t="s">
        <v>604</v>
      </c>
      <c r="C216" s="292">
        <v>4</v>
      </c>
      <c r="D216" s="454" t="s">
        <v>36</v>
      </c>
      <c r="E216" s="292">
        <v>4</v>
      </c>
      <c r="F216" s="454" t="s">
        <v>102</v>
      </c>
      <c r="G216" s="292">
        <v>45</v>
      </c>
      <c r="H216" s="454" t="s">
        <v>22</v>
      </c>
      <c r="I216" s="308">
        <v>4599</v>
      </c>
      <c r="J216" s="454" t="s">
        <v>23</v>
      </c>
      <c r="K216" s="308">
        <v>4599023</v>
      </c>
      <c r="L216" s="454" t="s">
        <v>34</v>
      </c>
      <c r="M216" s="292">
        <v>459902304</v>
      </c>
      <c r="N216" s="453" t="s">
        <v>605</v>
      </c>
      <c r="O216" s="308" t="s">
        <v>26</v>
      </c>
      <c r="P216" s="308">
        <v>1</v>
      </c>
      <c r="Q216" s="309">
        <v>0.75</v>
      </c>
      <c r="R216" s="469">
        <v>2021003630005</v>
      </c>
      <c r="S216" s="454" t="s">
        <v>606</v>
      </c>
      <c r="T216" s="457"/>
      <c r="U216" s="457"/>
      <c r="V216" s="457"/>
      <c r="W216" s="457"/>
      <c r="X216" s="457"/>
      <c r="Y216" s="457"/>
      <c r="Z216" s="457"/>
      <c r="AA216" s="457"/>
      <c r="AB216" s="457"/>
      <c r="AC216" s="457"/>
      <c r="AD216" s="457"/>
      <c r="AE216" s="457"/>
      <c r="AF216" s="457"/>
      <c r="AG216" s="457"/>
      <c r="AH216" s="457"/>
      <c r="AI216" s="457"/>
      <c r="AJ216" s="457"/>
      <c r="AK216" s="457"/>
      <c r="AL216" s="470">
        <f>200000000-98800000</f>
        <v>101200000</v>
      </c>
      <c r="AM216" s="470">
        <v>101200000</v>
      </c>
      <c r="AN216" s="470">
        <v>101121500</v>
      </c>
      <c r="AO216" s="470"/>
      <c r="AP216" s="470"/>
      <c r="AQ216" s="470"/>
      <c r="AR216" s="457"/>
      <c r="AS216" s="457"/>
      <c r="AT216" s="457"/>
      <c r="AU216" s="457">
        <f t="shared" si="11"/>
        <v>101200000</v>
      </c>
      <c r="AV216" s="457">
        <f t="shared" ref="AV216:AW267" si="14">SUM(U216,X216,AA216,AD216,AG216,AJ216,AM216,AP216,AS216)</f>
        <v>101200000</v>
      </c>
      <c r="AW216" s="457">
        <f t="shared" ref="AW216:AW267" si="15">SUM(V216,Y216,AB216,AE216,AH216,AK216,AN216,AQ216,AT216)</f>
        <v>101121500</v>
      </c>
      <c r="AX216" s="458" t="s">
        <v>607</v>
      </c>
    </row>
    <row r="217" spans="1:129" s="332" customFormat="1" ht="51" x14ac:dyDescent="0.25">
      <c r="A217" s="325">
        <v>313</v>
      </c>
      <c r="B217" s="325" t="s">
        <v>604</v>
      </c>
      <c r="C217" s="259"/>
      <c r="D217" s="386"/>
      <c r="E217" s="259">
        <v>4</v>
      </c>
      <c r="F217" s="386" t="s">
        <v>21</v>
      </c>
      <c r="G217" s="343" t="s">
        <v>29</v>
      </c>
      <c r="H217" s="386" t="s">
        <v>22</v>
      </c>
      <c r="I217" s="343" t="s">
        <v>31</v>
      </c>
      <c r="J217" s="385" t="s">
        <v>32</v>
      </c>
      <c r="K217" s="281" t="s">
        <v>33</v>
      </c>
      <c r="L217" s="386" t="s">
        <v>34</v>
      </c>
      <c r="M217" s="281">
        <v>459902300</v>
      </c>
      <c r="N217" s="343" t="s">
        <v>25</v>
      </c>
      <c r="O217" s="343" t="s">
        <v>26</v>
      </c>
      <c r="P217" s="305">
        <v>1</v>
      </c>
      <c r="Q217" s="305">
        <v>0</v>
      </c>
      <c r="R217" s="471">
        <v>2024003630021</v>
      </c>
      <c r="S217" s="463" t="s">
        <v>608</v>
      </c>
      <c r="T217" s="328"/>
      <c r="U217" s="328"/>
      <c r="V217" s="328"/>
      <c r="W217" s="328"/>
      <c r="X217" s="328"/>
      <c r="Y217" s="328"/>
      <c r="Z217" s="328"/>
      <c r="AA217" s="328"/>
      <c r="AB217" s="328"/>
      <c r="AC217" s="328"/>
      <c r="AD217" s="328"/>
      <c r="AE217" s="328"/>
      <c r="AF217" s="328"/>
      <c r="AG217" s="328"/>
      <c r="AH217" s="328"/>
      <c r="AI217" s="328"/>
      <c r="AJ217" s="328"/>
      <c r="AK217" s="328"/>
      <c r="AL217" s="328">
        <v>98800000</v>
      </c>
      <c r="AM217" s="328">
        <v>68316667</v>
      </c>
      <c r="AN217" s="328">
        <v>30200000</v>
      </c>
      <c r="AO217" s="404"/>
      <c r="AP217" s="404"/>
      <c r="AQ217" s="404"/>
      <c r="AR217" s="328"/>
      <c r="AS217" s="328"/>
      <c r="AT217" s="328"/>
      <c r="AU217" s="328">
        <f t="shared" si="11"/>
        <v>98800000</v>
      </c>
      <c r="AV217" s="328">
        <f t="shared" si="14"/>
        <v>68316667</v>
      </c>
      <c r="AW217" s="328">
        <f t="shared" si="15"/>
        <v>30200000</v>
      </c>
      <c r="AX217" s="385" t="s">
        <v>607</v>
      </c>
      <c r="AY217" s="331"/>
      <c r="AZ217" s="331"/>
      <c r="BA217" s="331"/>
      <c r="BB217" s="331"/>
      <c r="BC217" s="331"/>
      <c r="BD217" s="331"/>
      <c r="BE217" s="331"/>
      <c r="BF217" s="331"/>
      <c r="BG217" s="331"/>
      <c r="BH217" s="331"/>
      <c r="BI217" s="331"/>
      <c r="BJ217" s="331"/>
      <c r="BK217" s="331"/>
      <c r="BL217" s="331"/>
      <c r="BM217" s="331"/>
      <c r="BN217" s="331"/>
      <c r="BO217" s="331"/>
      <c r="BP217" s="331"/>
      <c r="BQ217" s="331"/>
      <c r="BR217" s="331"/>
      <c r="BS217" s="331"/>
      <c r="BT217" s="331"/>
      <c r="BU217" s="331"/>
      <c r="BV217" s="331"/>
      <c r="BW217" s="331"/>
      <c r="BX217" s="331"/>
      <c r="BY217" s="331"/>
      <c r="BZ217" s="331"/>
      <c r="CA217" s="331"/>
      <c r="CB217" s="331"/>
      <c r="CC217" s="331"/>
      <c r="CD217" s="331"/>
      <c r="CE217" s="331"/>
      <c r="CF217" s="331"/>
      <c r="CG217" s="331"/>
      <c r="CH217" s="331"/>
      <c r="CI217" s="331"/>
      <c r="CJ217" s="331"/>
      <c r="CK217" s="331"/>
      <c r="CL217" s="331"/>
      <c r="CM217" s="331"/>
      <c r="CN217" s="331"/>
      <c r="CO217" s="331"/>
      <c r="CP217" s="331"/>
      <c r="CQ217" s="331"/>
      <c r="CR217" s="331"/>
      <c r="CS217" s="331"/>
      <c r="CT217" s="331"/>
      <c r="CU217" s="331"/>
      <c r="CV217" s="331"/>
      <c r="CW217" s="331"/>
      <c r="CX217" s="331"/>
      <c r="CY217" s="331"/>
      <c r="CZ217" s="331"/>
      <c r="DA217" s="331"/>
      <c r="DB217" s="331"/>
      <c r="DC217" s="331"/>
      <c r="DD217" s="331"/>
      <c r="DE217" s="331"/>
      <c r="DF217" s="331"/>
      <c r="DG217" s="331"/>
      <c r="DH217" s="331"/>
      <c r="DI217" s="331"/>
      <c r="DJ217" s="331"/>
      <c r="DK217" s="331"/>
      <c r="DL217" s="331"/>
      <c r="DM217" s="331"/>
      <c r="DN217" s="331"/>
      <c r="DO217" s="331"/>
      <c r="DP217" s="331"/>
      <c r="DQ217" s="331"/>
      <c r="DR217" s="331"/>
      <c r="DS217" s="331"/>
      <c r="DT217" s="331"/>
      <c r="DU217" s="331"/>
      <c r="DV217" s="331"/>
      <c r="DW217" s="331"/>
      <c r="DX217" s="331"/>
      <c r="DY217" s="331"/>
    </row>
    <row r="218" spans="1:129" s="331" customFormat="1" ht="51" x14ac:dyDescent="0.25">
      <c r="A218" s="257">
        <v>313</v>
      </c>
      <c r="B218" s="376" t="s">
        <v>604</v>
      </c>
      <c r="C218" s="257">
        <v>4</v>
      </c>
      <c r="D218" s="376" t="s">
        <v>36</v>
      </c>
      <c r="E218" s="257">
        <v>4</v>
      </c>
      <c r="F218" s="376" t="s">
        <v>102</v>
      </c>
      <c r="G218" s="257">
        <v>45</v>
      </c>
      <c r="H218" s="376" t="s">
        <v>22</v>
      </c>
      <c r="I218" s="257">
        <v>4599</v>
      </c>
      <c r="J218" s="376" t="s">
        <v>23</v>
      </c>
      <c r="K218" s="257">
        <v>4599029</v>
      </c>
      <c r="L218" s="376" t="s">
        <v>50</v>
      </c>
      <c r="M218" s="13">
        <v>459902900</v>
      </c>
      <c r="N218" s="388" t="s">
        <v>51</v>
      </c>
      <c r="O218" s="307" t="s">
        <v>26</v>
      </c>
      <c r="P218" s="307">
        <v>1</v>
      </c>
      <c r="Q218" s="307">
        <v>0.48</v>
      </c>
      <c r="R218" s="380">
        <v>2020003630090</v>
      </c>
      <c r="S218" s="376" t="s">
        <v>609</v>
      </c>
      <c r="T218" s="381"/>
      <c r="U218" s="381"/>
      <c r="V218" s="381"/>
      <c r="W218" s="381"/>
      <c r="X218" s="381"/>
      <c r="Y218" s="381"/>
      <c r="Z218" s="381"/>
      <c r="AA218" s="381"/>
      <c r="AB218" s="381"/>
      <c r="AC218" s="381"/>
      <c r="AD218" s="381"/>
      <c r="AE218" s="381"/>
      <c r="AF218" s="381"/>
      <c r="AG218" s="381"/>
      <c r="AH218" s="381"/>
      <c r="AI218" s="381"/>
      <c r="AJ218" s="381"/>
      <c r="AK218" s="381"/>
      <c r="AL218" s="400">
        <f>400000000-50000000+700000000-672845000</f>
        <v>377155000</v>
      </c>
      <c r="AM218" s="400">
        <v>377155000</v>
      </c>
      <c r="AN218" s="400">
        <v>374855000</v>
      </c>
      <c r="AO218" s="381"/>
      <c r="AP218" s="381"/>
      <c r="AQ218" s="381"/>
      <c r="AR218" s="381"/>
      <c r="AS218" s="381"/>
      <c r="AT218" s="381"/>
      <c r="AU218" s="381">
        <f t="shared" si="11"/>
        <v>377155000</v>
      </c>
      <c r="AV218" s="381">
        <f t="shared" si="14"/>
        <v>377155000</v>
      </c>
      <c r="AW218" s="381">
        <f t="shared" si="15"/>
        <v>374855000</v>
      </c>
      <c r="AX218" s="392" t="s">
        <v>607</v>
      </c>
    </row>
    <row r="219" spans="1:129" s="332" customFormat="1" ht="51" x14ac:dyDescent="0.25">
      <c r="A219" s="277">
        <v>313</v>
      </c>
      <c r="B219" s="325" t="s">
        <v>604</v>
      </c>
      <c r="C219" s="259"/>
      <c r="D219" s="386"/>
      <c r="E219" s="259">
        <v>4</v>
      </c>
      <c r="F219" s="386" t="s">
        <v>21</v>
      </c>
      <c r="G219" s="343" t="s">
        <v>29</v>
      </c>
      <c r="H219" s="386" t="s">
        <v>22</v>
      </c>
      <c r="I219" s="343" t="s">
        <v>31</v>
      </c>
      <c r="J219" s="385" t="s">
        <v>32</v>
      </c>
      <c r="K219" s="313">
        <v>4599029</v>
      </c>
      <c r="L219" s="385" t="s">
        <v>50</v>
      </c>
      <c r="M219" s="228" t="s">
        <v>610</v>
      </c>
      <c r="N219" s="417" t="s">
        <v>56</v>
      </c>
      <c r="O219" s="343" t="s">
        <v>26</v>
      </c>
      <c r="P219" s="305">
        <v>1</v>
      </c>
      <c r="Q219" s="305">
        <v>0.48</v>
      </c>
      <c r="R219" s="281">
        <v>2024003630027</v>
      </c>
      <c r="S219" s="325" t="s">
        <v>611</v>
      </c>
      <c r="T219" s="328"/>
      <c r="U219" s="328"/>
      <c r="V219" s="328"/>
      <c r="W219" s="328"/>
      <c r="X219" s="328"/>
      <c r="Y219" s="328"/>
      <c r="Z219" s="328"/>
      <c r="AA219" s="328"/>
      <c r="AB219" s="328"/>
      <c r="AC219" s="328"/>
      <c r="AD219" s="328"/>
      <c r="AE219" s="328"/>
      <c r="AF219" s="328"/>
      <c r="AG219" s="328"/>
      <c r="AH219" s="328"/>
      <c r="AI219" s="328"/>
      <c r="AJ219" s="328"/>
      <c r="AK219" s="328"/>
      <c r="AL219" s="328">
        <v>672845000</v>
      </c>
      <c r="AM219" s="328">
        <v>656569998</v>
      </c>
      <c r="AN219" s="328">
        <v>78650000</v>
      </c>
      <c r="AO219" s="328"/>
      <c r="AP219" s="328"/>
      <c r="AQ219" s="328"/>
      <c r="AR219" s="328"/>
      <c r="AS219" s="328"/>
      <c r="AT219" s="328"/>
      <c r="AU219" s="328">
        <f t="shared" si="11"/>
        <v>672845000</v>
      </c>
      <c r="AV219" s="328">
        <f t="shared" si="14"/>
        <v>656569998</v>
      </c>
      <c r="AW219" s="328">
        <f t="shared" si="15"/>
        <v>78650000</v>
      </c>
      <c r="AX219" s="385" t="s">
        <v>607</v>
      </c>
      <c r="AY219" s="331"/>
      <c r="AZ219" s="331"/>
      <c r="BA219" s="331"/>
      <c r="BB219" s="331"/>
      <c r="BC219" s="331"/>
      <c r="BD219" s="331"/>
      <c r="BE219" s="331"/>
      <c r="BF219" s="331"/>
      <c r="BG219" s="331"/>
      <c r="BH219" s="331"/>
      <c r="BI219" s="331"/>
      <c r="BJ219" s="331"/>
      <c r="BK219" s="331"/>
      <c r="BL219" s="331"/>
      <c r="BM219" s="331"/>
      <c r="BN219" s="331"/>
      <c r="BO219" s="331"/>
      <c r="BP219" s="331"/>
      <c r="BQ219" s="331"/>
      <c r="BR219" s="331"/>
      <c r="BS219" s="331"/>
      <c r="BT219" s="331"/>
      <c r="BU219" s="331"/>
      <c r="BV219" s="331"/>
      <c r="BW219" s="331"/>
      <c r="BX219" s="331"/>
      <c r="BY219" s="331"/>
      <c r="BZ219" s="331"/>
      <c r="CA219" s="331"/>
      <c r="CB219" s="331"/>
      <c r="CC219" s="331"/>
      <c r="CD219" s="331"/>
      <c r="CE219" s="331"/>
      <c r="CF219" s="331"/>
      <c r="CG219" s="331"/>
      <c r="CH219" s="331"/>
      <c r="CI219" s="331"/>
      <c r="CJ219" s="331"/>
      <c r="CK219" s="331"/>
      <c r="CL219" s="331"/>
      <c r="CM219" s="331"/>
      <c r="CN219" s="331"/>
      <c r="CO219" s="331"/>
      <c r="CP219" s="331"/>
      <c r="CQ219" s="331"/>
      <c r="CR219" s="331"/>
      <c r="CS219" s="331"/>
      <c r="CT219" s="331"/>
      <c r="CU219" s="331"/>
      <c r="CV219" s="331"/>
      <c r="CW219" s="331"/>
      <c r="CX219" s="331"/>
      <c r="CY219" s="331"/>
      <c r="CZ219" s="331"/>
      <c r="DA219" s="331"/>
      <c r="DB219" s="331"/>
      <c r="DC219" s="331"/>
      <c r="DD219" s="331"/>
      <c r="DE219" s="331"/>
      <c r="DF219" s="331"/>
      <c r="DG219" s="331"/>
      <c r="DH219" s="331"/>
      <c r="DI219" s="331"/>
      <c r="DJ219" s="331"/>
      <c r="DK219" s="331"/>
      <c r="DL219" s="331"/>
      <c r="DM219" s="331"/>
      <c r="DN219" s="331"/>
      <c r="DO219" s="331"/>
      <c r="DP219" s="331"/>
      <c r="DQ219" s="331"/>
      <c r="DR219" s="331"/>
      <c r="DS219" s="331"/>
      <c r="DT219" s="331"/>
      <c r="DU219" s="331"/>
      <c r="DV219" s="331"/>
      <c r="DW219" s="331"/>
      <c r="DX219" s="331"/>
      <c r="DY219" s="331"/>
    </row>
    <row r="220" spans="1:129" s="459" customFormat="1" ht="51" x14ac:dyDescent="0.25">
      <c r="A220" s="292">
        <v>313</v>
      </c>
      <c r="B220" s="454" t="s">
        <v>604</v>
      </c>
      <c r="C220" s="292">
        <v>4</v>
      </c>
      <c r="D220" s="454" t="s">
        <v>36</v>
      </c>
      <c r="E220" s="292">
        <v>4</v>
      </c>
      <c r="F220" s="454" t="s">
        <v>102</v>
      </c>
      <c r="G220" s="292">
        <v>45</v>
      </c>
      <c r="H220" s="454" t="s">
        <v>22</v>
      </c>
      <c r="I220" s="292">
        <v>4502</v>
      </c>
      <c r="J220" s="454" t="s">
        <v>49</v>
      </c>
      <c r="K220" s="292">
        <v>4502001</v>
      </c>
      <c r="L220" s="454" t="s">
        <v>59</v>
      </c>
      <c r="M220" s="292">
        <v>450200100</v>
      </c>
      <c r="N220" s="453" t="s">
        <v>60</v>
      </c>
      <c r="O220" s="308" t="s">
        <v>26</v>
      </c>
      <c r="P220" s="299">
        <v>30</v>
      </c>
      <c r="Q220" s="299">
        <v>24</v>
      </c>
      <c r="R220" s="337">
        <v>2020003630031</v>
      </c>
      <c r="S220" s="454" t="s">
        <v>612</v>
      </c>
      <c r="T220" s="472"/>
      <c r="U220" s="472"/>
      <c r="V220" s="472"/>
      <c r="W220" s="472"/>
      <c r="X220" s="472"/>
      <c r="Y220" s="472"/>
      <c r="Z220" s="472"/>
      <c r="AA220" s="472"/>
      <c r="AB220" s="472"/>
      <c r="AC220" s="472"/>
      <c r="AD220" s="472"/>
      <c r="AE220" s="472"/>
      <c r="AF220" s="472"/>
      <c r="AG220" s="472"/>
      <c r="AH220" s="472"/>
      <c r="AI220" s="472"/>
      <c r="AJ220" s="472"/>
      <c r="AK220" s="472"/>
      <c r="AL220" s="470">
        <f>253002887.28-100000000-97152888.28</f>
        <v>55849999</v>
      </c>
      <c r="AM220" s="470">
        <v>55849999</v>
      </c>
      <c r="AN220" s="470">
        <v>55849999</v>
      </c>
      <c r="AO220" s="457">
        <f>800000000-111607860</f>
        <v>688392140</v>
      </c>
      <c r="AP220" s="457">
        <v>681986640</v>
      </c>
      <c r="AQ220" s="457">
        <v>681986640</v>
      </c>
      <c r="AR220" s="472"/>
      <c r="AS220" s="472"/>
      <c r="AT220" s="472"/>
      <c r="AU220" s="457">
        <f t="shared" si="11"/>
        <v>744242139</v>
      </c>
      <c r="AV220" s="457">
        <f t="shared" si="14"/>
        <v>737836639</v>
      </c>
      <c r="AW220" s="457">
        <f t="shared" si="15"/>
        <v>737836639</v>
      </c>
      <c r="AX220" s="458" t="s">
        <v>607</v>
      </c>
    </row>
    <row r="221" spans="1:129" s="332" customFormat="1" ht="51" x14ac:dyDescent="0.25">
      <c r="A221" s="325">
        <v>313</v>
      </c>
      <c r="B221" s="325" t="s">
        <v>604</v>
      </c>
      <c r="C221" s="259"/>
      <c r="D221" s="386"/>
      <c r="E221" s="259">
        <v>4</v>
      </c>
      <c r="F221" s="386" t="s">
        <v>21</v>
      </c>
      <c r="G221" s="343" t="s">
        <v>29</v>
      </c>
      <c r="H221" s="386" t="s">
        <v>22</v>
      </c>
      <c r="I221" s="282" t="s">
        <v>53</v>
      </c>
      <c r="J221" s="385" t="s">
        <v>49</v>
      </c>
      <c r="K221" s="313">
        <v>4502001</v>
      </c>
      <c r="L221" s="385" t="s">
        <v>59</v>
      </c>
      <c r="M221" s="313">
        <v>450200100</v>
      </c>
      <c r="N221" s="385" t="s">
        <v>60</v>
      </c>
      <c r="O221" s="343" t="s">
        <v>26</v>
      </c>
      <c r="P221" s="305">
        <v>30</v>
      </c>
      <c r="Q221" s="305">
        <v>24</v>
      </c>
      <c r="R221" s="281">
        <v>2024003630031</v>
      </c>
      <c r="S221" s="325" t="s">
        <v>613</v>
      </c>
      <c r="T221" s="467"/>
      <c r="U221" s="467"/>
      <c r="V221" s="467"/>
      <c r="W221" s="467"/>
      <c r="X221" s="467"/>
      <c r="Y221" s="467"/>
      <c r="Z221" s="467"/>
      <c r="AA221" s="467"/>
      <c r="AB221" s="467"/>
      <c r="AC221" s="467"/>
      <c r="AD221" s="467"/>
      <c r="AE221" s="467"/>
      <c r="AF221" s="467"/>
      <c r="AG221" s="467"/>
      <c r="AH221" s="467"/>
      <c r="AI221" s="467"/>
      <c r="AJ221" s="467"/>
      <c r="AK221" s="467"/>
      <c r="AL221" s="404">
        <v>97152888.280000001</v>
      </c>
      <c r="AM221" s="404">
        <v>73253334</v>
      </c>
      <c r="AN221" s="404">
        <v>37900000</v>
      </c>
      <c r="AO221" s="328">
        <f>111607860-111607860</f>
        <v>0</v>
      </c>
      <c r="AP221" s="328">
        <v>0</v>
      </c>
      <c r="AQ221" s="328">
        <v>0</v>
      </c>
      <c r="AR221" s="467"/>
      <c r="AS221" s="467"/>
      <c r="AT221" s="467"/>
      <c r="AU221" s="328">
        <f t="shared" si="11"/>
        <v>97152888.280000001</v>
      </c>
      <c r="AV221" s="328">
        <f t="shared" si="14"/>
        <v>73253334</v>
      </c>
      <c r="AW221" s="328">
        <f t="shared" si="15"/>
        <v>37900000</v>
      </c>
      <c r="AX221" s="385" t="s">
        <v>607</v>
      </c>
      <c r="AY221" s="331"/>
      <c r="AZ221" s="331"/>
      <c r="BA221" s="331"/>
      <c r="BB221" s="331"/>
      <c r="BC221" s="331"/>
      <c r="BD221" s="331"/>
      <c r="BE221" s="331"/>
      <c r="BF221" s="331"/>
      <c r="BG221" s="331"/>
      <c r="BH221" s="331"/>
      <c r="BI221" s="331"/>
      <c r="BJ221" s="331"/>
      <c r="BK221" s="331"/>
      <c r="BL221" s="331"/>
      <c r="BM221" s="331"/>
      <c r="BN221" s="331"/>
      <c r="BO221" s="331"/>
      <c r="BP221" s="331"/>
      <c r="BQ221" s="331"/>
      <c r="BR221" s="331"/>
      <c r="BS221" s="331"/>
      <c r="BT221" s="331"/>
      <c r="BU221" s="331"/>
      <c r="BV221" s="331"/>
      <c r="BW221" s="331"/>
      <c r="BX221" s="331"/>
      <c r="BY221" s="331"/>
      <c r="BZ221" s="331"/>
      <c r="CA221" s="331"/>
      <c r="CB221" s="331"/>
      <c r="CC221" s="331"/>
      <c r="CD221" s="331"/>
      <c r="CE221" s="331"/>
      <c r="CF221" s="331"/>
      <c r="CG221" s="331"/>
      <c r="CH221" s="331"/>
      <c r="CI221" s="331"/>
      <c r="CJ221" s="331"/>
      <c r="CK221" s="331"/>
      <c r="CL221" s="331"/>
      <c r="CM221" s="331"/>
      <c r="CN221" s="331"/>
      <c r="CO221" s="331"/>
      <c r="CP221" s="331"/>
      <c r="CQ221" s="331"/>
      <c r="CR221" s="331"/>
      <c r="CS221" s="331"/>
      <c r="CT221" s="331"/>
      <c r="CU221" s="331"/>
      <c r="CV221" s="331"/>
      <c r="CW221" s="331"/>
      <c r="CX221" s="331"/>
      <c r="CY221" s="331"/>
      <c r="CZ221" s="331"/>
      <c r="DA221" s="331"/>
      <c r="DB221" s="331"/>
      <c r="DC221" s="331"/>
      <c r="DD221" s="331"/>
      <c r="DE221" s="331"/>
      <c r="DF221" s="331"/>
      <c r="DG221" s="331"/>
      <c r="DH221" s="331"/>
      <c r="DI221" s="331"/>
      <c r="DJ221" s="331"/>
      <c r="DK221" s="331"/>
      <c r="DL221" s="331"/>
      <c r="DM221" s="331"/>
      <c r="DN221" s="331"/>
      <c r="DO221" s="331"/>
      <c r="DP221" s="331"/>
      <c r="DQ221" s="331"/>
      <c r="DR221" s="331"/>
      <c r="DS221" s="331"/>
      <c r="DT221" s="331"/>
      <c r="DU221" s="331"/>
      <c r="DV221" s="331"/>
      <c r="DW221" s="331"/>
      <c r="DX221" s="331"/>
      <c r="DY221" s="331"/>
    </row>
    <row r="222" spans="1:129" s="331" customFormat="1" ht="51" x14ac:dyDescent="0.25">
      <c r="A222" s="257">
        <v>314</v>
      </c>
      <c r="B222" s="376" t="s">
        <v>614</v>
      </c>
      <c r="C222" s="257">
        <v>1</v>
      </c>
      <c r="D222" s="376" t="s">
        <v>105</v>
      </c>
      <c r="E222" s="257">
        <v>1</v>
      </c>
      <c r="F222" s="376" t="s">
        <v>112</v>
      </c>
      <c r="G222" s="257">
        <v>22</v>
      </c>
      <c r="H222" s="376" t="s">
        <v>113</v>
      </c>
      <c r="I222" s="257">
        <v>2201</v>
      </c>
      <c r="J222" s="376" t="s">
        <v>114</v>
      </c>
      <c r="K222" s="257">
        <v>2201030</v>
      </c>
      <c r="L222" s="376" t="s">
        <v>615</v>
      </c>
      <c r="M222" s="258">
        <v>220103000</v>
      </c>
      <c r="N222" s="388" t="s">
        <v>616</v>
      </c>
      <c r="O222" s="280" t="s">
        <v>26</v>
      </c>
      <c r="P222" s="280">
        <v>2500</v>
      </c>
      <c r="Q222" s="280">
        <v>1836</v>
      </c>
      <c r="R222" s="380">
        <v>2020003630091</v>
      </c>
      <c r="S222" s="376" t="s">
        <v>617</v>
      </c>
      <c r="T222" s="381"/>
      <c r="U222" s="381"/>
      <c r="V222" s="381"/>
      <c r="W222" s="381"/>
      <c r="X222" s="381"/>
      <c r="Y222" s="381"/>
      <c r="Z222" s="381"/>
      <c r="AA222" s="381"/>
      <c r="AB222" s="381"/>
      <c r="AC222" s="381"/>
      <c r="AD222" s="381"/>
      <c r="AE222" s="381"/>
      <c r="AF222" s="381">
        <f>1526888200-213580189-689508025</f>
        <v>623799986</v>
      </c>
      <c r="AG222" s="381">
        <v>623799986</v>
      </c>
      <c r="AH222" s="381">
        <v>616889986</v>
      </c>
      <c r="AI222" s="381"/>
      <c r="AJ222" s="381"/>
      <c r="AK222" s="381"/>
      <c r="AL222" s="400"/>
      <c r="AM222" s="400"/>
      <c r="AN222" s="400"/>
      <c r="AO222" s="381"/>
      <c r="AP222" s="381"/>
      <c r="AQ222" s="381"/>
      <c r="AR222" s="381"/>
      <c r="AS222" s="381"/>
      <c r="AT222" s="381"/>
      <c r="AU222" s="381">
        <f t="shared" si="11"/>
        <v>623799986</v>
      </c>
      <c r="AV222" s="381">
        <f t="shared" si="14"/>
        <v>623799986</v>
      </c>
      <c r="AW222" s="381">
        <f t="shared" si="15"/>
        <v>616889986</v>
      </c>
      <c r="AX222" s="473" t="s">
        <v>618</v>
      </c>
    </row>
    <row r="223" spans="1:129" s="331" customFormat="1" ht="51" x14ac:dyDescent="0.25">
      <c r="A223" s="257">
        <v>314</v>
      </c>
      <c r="B223" s="376" t="s">
        <v>614</v>
      </c>
      <c r="C223" s="257">
        <v>1</v>
      </c>
      <c r="D223" s="376" t="s">
        <v>105</v>
      </c>
      <c r="E223" s="257">
        <v>1</v>
      </c>
      <c r="F223" s="376" t="s">
        <v>112</v>
      </c>
      <c r="G223" s="257">
        <v>22</v>
      </c>
      <c r="H223" s="376" t="s">
        <v>113</v>
      </c>
      <c r="I223" s="257">
        <v>2201</v>
      </c>
      <c r="J223" s="376" t="s">
        <v>114</v>
      </c>
      <c r="K223" s="257">
        <v>2201028</v>
      </c>
      <c r="L223" s="376" t="s">
        <v>621</v>
      </c>
      <c r="M223" s="257">
        <v>220102801</v>
      </c>
      <c r="N223" s="388" t="s">
        <v>622</v>
      </c>
      <c r="O223" s="280" t="s">
        <v>26</v>
      </c>
      <c r="P223" s="280">
        <v>36000</v>
      </c>
      <c r="Q223" s="280">
        <v>26525</v>
      </c>
      <c r="R223" s="380">
        <v>2020003630091</v>
      </c>
      <c r="S223" s="376" t="s">
        <v>617</v>
      </c>
      <c r="T223" s="381"/>
      <c r="U223" s="381"/>
      <c r="V223" s="381"/>
      <c r="W223" s="381">
        <v>127380177</v>
      </c>
      <c r="X223" s="381">
        <v>127380177</v>
      </c>
      <c r="Y223" s="381">
        <v>99662502</v>
      </c>
      <c r="Z223" s="381"/>
      <c r="AA223" s="381"/>
      <c r="AB223" s="381"/>
      <c r="AC223" s="381"/>
      <c r="AD223" s="381"/>
      <c r="AE223" s="381"/>
      <c r="AF223" s="381"/>
      <c r="AG223" s="381"/>
      <c r="AH223" s="381"/>
      <c r="AI223" s="381"/>
      <c r="AJ223" s="381"/>
      <c r="AK223" s="381"/>
      <c r="AL223" s="400">
        <f>3000000000-39241283.08</f>
        <v>2960758716.9200001</v>
      </c>
      <c r="AM223" s="400">
        <v>2960758716.9200001</v>
      </c>
      <c r="AN223" s="400">
        <v>2890874813.2600002</v>
      </c>
      <c r="AO223" s="381"/>
      <c r="AP223" s="381"/>
      <c r="AQ223" s="381"/>
      <c r="AR223" s="381">
        <f>9901551000+10000000+3373562039.04+2673340000-323991876.96</f>
        <v>15634461162.080002</v>
      </c>
      <c r="AS223" s="381">
        <v>15634461162.08</v>
      </c>
      <c r="AT223" s="381">
        <v>14423462114.08</v>
      </c>
      <c r="AU223" s="381">
        <f t="shared" si="11"/>
        <v>18722600056</v>
      </c>
      <c r="AV223" s="381">
        <f t="shared" si="14"/>
        <v>18722600056</v>
      </c>
      <c r="AW223" s="381">
        <f t="shared" si="14"/>
        <v>17413999429.34</v>
      </c>
      <c r="AX223" s="473" t="s">
        <v>618</v>
      </c>
    </row>
    <row r="224" spans="1:129" s="331" customFormat="1" ht="51" x14ac:dyDescent="0.25">
      <c r="A224" s="257">
        <v>314</v>
      </c>
      <c r="B224" s="376" t="s">
        <v>614</v>
      </c>
      <c r="C224" s="257">
        <v>1</v>
      </c>
      <c r="D224" s="376" t="s">
        <v>105</v>
      </c>
      <c r="E224" s="257">
        <v>1</v>
      </c>
      <c r="F224" s="376" t="s">
        <v>112</v>
      </c>
      <c r="G224" s="257">
        <v>22</v>
      </c>
      <c r="H224" s="376" t="s">
        <v>113</v>
      </c>
      <c r="I224" s="257">
        <v>2201</v>
      </c>
      <c r="J224" s="376" t="s">
        <v>114</v>
      </c>
      <c r="K224" s="257">
        <v>2201029</v>
      </c>
      <c r="L224" s="376" t="s">
        <v>623</v>
      </c>
      <c r="M224" s="258">
        <v>220102900</v>
      </c>
      <c r="N224" s="388" t="s">
        <v>624</v>
      </c>
      <c r="O224" s="280" t="s">
        <v>67</v>
      </c>
      <c r="P224" s="302">
        <v>1500</v>
      </c>
      <c r="Q224" s="302">
        <v>314</v>
      </c>
      <c r="R224" s="380">
        <v>2020003630091</v>
      </c>
      <c r="S224" s="376" t="s">
        <v>617</v>
      </c>
      <c r="T224" s="381"/>
      <c r="U224" s="381"/>
      <c r="V224" s="381"/>
      <c r="W224" s="400"/>
      <c r="X224" s="400"/>
      <c r="Y224" s="400"/>
      <c r="Z224" s="381"/>
      <c r="AA224" s="381"/>
      <c r="AB224" s="381"/>
      <c r="AC224" s="381"/>
      <c r="AD224" s="381"/>
      <c r="AE224" s="381"/>
      <c r="AF224" s="381"/>
      <c r="AG224" s="381"/>
      <c r="AH224" s="381"/>
      <c r="AI224" s="381"/>
      <c r="AJ224" s="381"/>
      <c r="AK224" s="381"/>
      <c r="AL224" s="400">
        <f>100000000+1100000000-936670629</f>
        <v>263329371</v>
      </c>
      <c r="AM224" s="400">
        <v>263329371</v>
      </c>
      <c r="AN224" s="400">
        <v>263329371</v>
      </c>
      <c r="AO224" s="381"/>
      <c r="AP224" s="381"/>
      <c r="AQ224" s="381"/>
      <c r="AR224" s="381"/>
      <c r="AS224" s="381"/>
      <c r="AT224" s="381"/>
      <c r="AU224" s="381">
        <f t="shared" si="11"/>
        <v>263329371</v>
      </c>
      <c r="AV224" s="381">
        <f t="shared" si="14"/>
        <v>263329371</v>
      </c>
      <c r="AW224" s="381">
        <f t="shared" si="15"/>
        <v>263329371</v>
      </c>
      <c r="AX224" s="473" t="s">
        <v>618</v>
      </c>
    </row>
    <row r="225" spans="1:129" s="332" customFormat="1" ht="102" x14ac:dyDescent="0.25">
      <c r="A225" s="259">
        <v>314</v>
      </c>
      <c r="B225" s="325" t="s">
        <v>614</v>
      </c>
      <c r="C225" s="259"/>
      <c r="D225" s="325"/>
      <c r="E225" s="259">
        <v>1</v>
      </c>
      <c r="F225" s="325" t="s">
        <v>112</v>
      </c>
      <c r="G225" s="259">
        <v>22</v>
      </c>
      <c r="H225" s="440" t="s">
        <v>113</v>
      </c>
      <c r="I225" s="259">
        <v>2201</v>
      </c>
      <c r="J225" s="325" t="s">
        <v>114</v>
      </c>
      <c r="K225" s="259">
        <v>2201017</v>
      </c>
      <c r="L225" s="325" t="s">
        <v>627</v>
      </c>
      <c r="M225" s="274">
        <v>220101700</v>
      </c>
      <c r="N225" s="474" t="s">
        <v>628</v>
      </c>
      <c r="O225" s="272" t="s">
        <v>26</v>
      </c>
      <c r="P225" s="303">
        <v>35000</v>
      </c>
      <c r="Q225" s="303">
        <v>35051</v>
      </c>
      <c r="R225" s="281">
        <v>2024003630023</v>
      </c>
      <c r="S225" s="464" t="s">
        <v>629</v>
      </c>
      <c r="T225" s="328"/>
      <c r="U225" s="328"/>
      <c r="V225" s="328"/>
      <c r="W225" s="328"/>
      <c r="X225" s="328"/>
      <c r="Y225" s="328"/>
      <c r="Z225" s="328"/>
      <c r="AA225" s="328"/>
      <c r="AB225" s="328"/>
      <c r="AC225" s="328"/>
      <c r="AD225" s="328"/>
      <c r="AE225" s="328"/>
      <c r="AF225" s="328">
        <v>280000000</v>
      </c>
      <c r="AG225" s="328">
        <v>3514660</v>
      </c>
      <c r="AH225" s="328"/>
      <c r="AI225" s="328"/>
      <c r="AJ225" s="328"/>
      <c r="AK225" s="328"/>
      <c r="AL225" s="404">
        <f>33400000-10000000+10133333</f>
        <v>33533333</v>
      </c>
      <c r="AM225" s="404">
        <v>33203870</v>
      </c>
      <c r="AN225" s="404">
        <v>33203870</v>
      </c>
      <c r="AO225" s="328"/>
      <c r="AP225" s="328"/>
      <c r="AQ225" s="328"/>
      <c r="AR225" s="328"/>
      <c r="AS225" s="328"/>
      <c r="AT225" s="328"/>
      <c r="AU225" s="328">
        <f t="shared" si="11"/>
        <v>313533333</v>
      </c>
      <c r="AV225" s="328">
        <f t="shared" si="14"/>
        <v>36718530</v>
      </c>
      <c r="AW225" s="328">
        <f t="shared" si="15"/>
        <v>33203870</v>
      </c>
      <c r="AX225" s="330" t="s">
        <v>618</v>
      </c>
      <c r="AY225" s="331"/>
      <c r="AZ225" s="331"/>
      <c r="BA225" s="331"/>
      <c r="BB225" s="331"/>
      <c r="BC225" s="331"/>
      <c r="BD225" s="331"/>
      <c r="BE225" s="331"/>
      <c r="BF225" s="331"/>
      <c r="BG225" s="331"/>
      <c r="BH225" s="331"/>
      <c r="BI225" s="331"/>
      <c r="BJ225" s="331"/>
      <c r="BK225" s="331"/>
      <c r="BL225" s="331"/>
      <c r="BM225" s="331"/>
      <c r="BN225" s="331"/>
      <c r="BO225" s="331"/>
      <c r="BP225" s="331"/>
      <c r="BQ225" s="331"/>
      <c r="BR225" s="331"/>
      <c r="BS225" s="331"/>
      <c r="BT225" s="331"/>
      <c r="BU225" s="331"/>
      <c r="BV225" s="331"/>
      <c r="BW225" s="331"/>
      <c r="BX225" s="331"/>
      <c r="BY225" s="331"/>
      <c r="BZ225" s="331"/>
      <c r="CA225" s="331"/>
      <c r="CB225" s="331"/>
      <c r="CC225" s="331"/>
      <c r="CD225" s="331"/>
      <c r="CE225" s="331"/>
      <c r="CF225" s="331"/>
      <c r="CG225" s="331"/>
      <c r="CH225" s="331"/>
      <c r="CI225" s="331"/>
      <c r="CJ225" s="331"/>
      <c r="CK225" s="331"/>
      <c r="CL225" s="331"/>
      <c r="CM225" s="331"/>
      <c r="CN225" s="331"/>
      <c r="CO225" s="331"/>
      <c r="CP225" s="331"/>
      <c r="CQ225" s="331"/>
      <c r="CR225" s="331"/>
      <c r="CS225" s="331"/>
      <c r="CT225" s="331"/>
      <c r="CU225" s="331"/>
      <c r="CV225" s="331"/>
      <c r="CW225" s="331"/>
      <c r="CX225" s="331"/>
      <c r="CY225" s="331"/>
      <c r="CZ225" s="331"/>
      <c r="DA225" s="331"/>
      <c r="DB225" s="331"/>
      <c r="DC225" s="331"/>
      <c r="DD225" s="331"/>
      <c r="DE225" s="331"/>
      <c r="DF225" s="331"/>
      <c r="DG225" s="331"/>
      <c r="DH225" s="331"/>
      <c r="DI225" s="331"/>
      <c r="DJ225" s="331"/>
      <c r="DK225" s="331"/>
      <c r="DL225" s="331"/>
      <c r="DM225" s="331"/>
      <c r="DN225" s="331"/>
      <c r="DO225" s="331"/>
      <c r="DP225" s="331"/>
      <c r="DQ225" s="331"/>
      <c r="DR225" s="331"/>
      <c r="DS225" s="331"/>
      <c r="DT225" s="331"/>
      <c r="DU225" s="331"/>
      <c r="DV225" s="331"/>
      <c r="DW225" s="331"/>
      <c r="DX225" s="331"/>
      <c r="DY225" s="331"/>
    </row>
    <row r="226" spans="1:129" s="332" customFormat="1" ht="51" x14ac:dyDescent="0.25">
      <c r="A226" s="277">
        <v>314</v>
      </c>
      <c r="B226" s="325" t="s">
        <v>614</v>
      </c>
      <c r="C226" s="259"/>
      <c r="D226" s="325"/>
      <c r="E226" s="259">
        <v>1</v>
      </c>
      <c r="F226" s="325" t="s">
        <v>112</v>
      </c>
      <c r="G226" s="259">
        <v>22</v>
      </c>
      <c r="H226" s="440" t="s">
        <v>113</v>
      </c>
      <c r="I226" s="259">
        <v>2201</v>
      </c>
      <c r="J226" s="325" t="s">
        <v>114</v>
      </c>
      <c r="K226" s="259">
        <v>2201028</v>
      </c>
      <c r="L226" s="325" t="s">
        <v>621</v>
      </c>
      <c r="M226" s="259">
        <v>220102800</v>
      </c>
      <c r="N226" s="325" t="s">
        <v>630</v>
      </c>
      <c r="O226" s="272" t="s">
        <v>67</v>
      </c>
      <c r="P226" s="303">
        <v>4540360</v>
      </c>
      <c r="Q226" s="303">
        <v>3275039</v>
      </c>
      <c r="R226" s="281">
        <v>2024003630023</v>
      </c>
      <c r="S226" s="464" t="s">
        <v>629</v>
      </c>
      <c r="T226" s="328"/>
      <c r="U226" s="328"/>
      <c r="V226" s="328"/>
      <c r="W226" s="328"/>
      <c r="X226" s="328"/>
      <c r="Y226" s="328"/>
      <c r="Z226" s="328"/>
      <c r="AA226" s="328"/>
      <c r="AB226" s="328"/>
      <c r="AC226" s="328"/>
      <c r="AD226" s="328"/>
      <c r="AE226" s="328"/>
      <c r="AF226" s="328"/>
      <c r="AG226" s="328"/>
      <c r="AH226" s="328"/>
      <c r="AI226" s="328"/>
      <c r="AJ226" s="328"/>
      <c r="AK226" s="328"/>
      <c r="AL226" s="404">
        <f>37555006+28000000+22444994+93224140</f>
        <v>181224140</v>
      </c>
      <c r="AM226" s="404">
        <v>54201316.68</v>
      </c>
      <c r="AN226" s="404">
        <v>13711236</v>
      </c>
      <c r="AO226" s="328">
        <v>54396860</v>
      </c>
      <c r="AP226" s="328"/>
      <c r="AQ226" s="328"/>
      <c r="AR226" s="328">
        <f>323991876.96+3025766000+327626000</f>
        <v>3677383876.96</v>
      </c>
      <c r="AS226" s="328">
        <v>3530263138</v>
      </c>
      <c r="AT226" s="328">
        <v>2389619743</v>
      </c>
      <c r="AU226" s="328">
        <f t="shared" si="11"/>
        <v>3913004876.96</v>
      </c>
      <c r="AV226" s="328">
        <f t="shared" si="14"/>
        <v>3584464454.6799998</v>
      </c>
      <c r="AW226" s="328">
        <f t="shared" si="15"/>
        <v>2403330979</v>
      </c>
      <c r="AX226" s="330" t="s">
        <v>618</v>
      </c>
      <c r="AY226" s="331"/>
      <c r="AZ226" s="331"/>
      <c r="BA226" s="331"/>
      <c r="BB226" s="331"/>
      <c r="BC226" s="331"/>
      <c r="BD226" s="331"/>
      <c r="BE226" s="331"/>
      <c r="BF226" s="331"/>
      <c r="BG226" s="331"/>
      <c r="BH226" s="331"/>
      <c r="BI226" s="331"/>
      <c r="BJ226" s="331"/>
      <c r="BK226" s="331"/>
      <c r="BL226" s="331"/>
      <c r="BM226" s="331"/>
      <c r="BN226" s="331"/>
      <c r="BO226" s="331"/>
      <c r="BP226" s="331"/>
      <c r="BQ226" s="331"/>
      <c r="BR226" s="331"/>
      <c r="BS226" s="331"/>
      <c r="BT226" s="331"/>
      <c r="BU226" s="331"/>
      <c r="BV226" s="331"/>
      <c r="BW226" s="331"/>
      <c r="BX226" s="331"/>
      <c r="BY226" s="331"/>
      <c r="BZ226" s="331"/>
      <c r="CA226" s="331"/>
      <c r="CB226" s="331"/>
      <c r="CC226" s="331"/>
      <c r="CD226" s="331"/>
      <c r="CE226" s="331"/>
      <c r="CF226" s="331"/>
      <c r="CG226" s="331"/>
      <c r="CH226" s="331"/>
      <c r="CI226" s="331"/>
      <c r="CJ226" s="331"/>
      <c r="CK226" s="331"/>
      <c r="CL226" s="331"/>
      <c r="CM226" s="331"/>
      <c r="CN226" s="331"/>
      <c r="CO226" s="331"/>
      <c r="CP226" s="331"/>
      <c r="CQ226" s="331"/>
      <c r="CR226" s="331"/>
      <c r="CS226" s="331"/>
      <c r="CT226" s="331"/>
      <c r="CU226" s="331"/>
      <c r="CV226" s="331"/>
      <c r="CW226" s="331"/>
      <c r="CX226" s="331"/>
      <c r="CY226" s="331"/>
      <c r="CZ226" s="331"/>
      <c r="DA226" s="331"/>
      <c r="DB226" s="331"/>
      <c r="DC226" s="331"/>
      <c r="DD226" s="331"/>
      <c r="DE226" s="331"/>
      <c r="DF226" s="331"/>
      <c r="DG226" s="331"/>
      <c r="DH226" s="331"/>
      <c r="DI226" s="331"/>
      <c r="DJ226" s="331"/>
      <c r="DK226" s="331"/>
      <c r="DL226" s="331"/>
      <c r="DM226" s="331"/>
      <c r="DN226" s="331"/>
      <c r="DO226" s="331"/>
      <c r="DP226" s="331"/>
      <c r="DQ226" s="331"/>
      <c r="DR226" s="331"/>
      <c r="DS226" s="331"/>
      <c r="DT226" s="331"/>
      <c r="DU226" s="331"/>
      <c r="DV226" s="331"/>
      <c r="DW226" s="331"/>
      <c r="DX226" s="331"/>
      <c r="DY226" s="331"/>
    </row>
    <row r="227" spans="1:129" s="332" customFormat="1" ht="51" x14ac:dyDescent="0.25">
      <c r="A227" s="277">
        <v>314</v>
      </c>
      <c r="B227" s="325" t="s">
        <v>614</v>
      </c>
      <c r="C227" s="259"/>
      <c r="D227" s="325"/>
      <c r="E227" s="259">
        <v>1</v>
      </c>
      <c r="F227" s="325" t="s">
        <v>112</v>
      </c>
      <c r="G227" s="259">
        <v>22</v>
      </c>
      <c r="H227" s="440" t="s">
        <v>113</v>
      </c>
      <c r="I227" s="259">
        <v>2201</v>
      </c>
      <c r="J227" s="325" t="s">
        <v>114</v>
      </c>
      <c r="K227" s="259">
        <v>2201029</v>
      </c>
      <c r="L227" s="325" t="s">
        <v>623</v>
      </c>
      <c r="M227" s="274">
        <v>220102900</v>
      </c>
      <c r="N227" s="474" t="s">
        <v>624</v>
      </c>
      <c r="O227" s="272" t="s">
        <v>26</v>
      </c>
      <c r="P227" s="303">
        <v>2500</v>
      </c>
      <c r="Q227" s="303">
        <v>2058</v>
      </c>
      <c r="R227" s="281">
        <v>2024003630023</v>
      </c>
      <c r="S227" s="464" t="s">
        <v>629</v>
      </c>
      <c r="T227" s="328"/>
      <c r="U227" s="328"/>
      <c r="V227" s="328"/>
      <c r="W227" s="328"/>
      <c r="X227" s="328"/>
      <c r="Y227" s="328"/>
      <c r="Z227" s="328"/>
      <c r="AA227" s="328"/>
      <c r="AB227" s="328"/>
      <c r="AC227" s="328"/>
      <c r="AD227" s="328"/>
      <c r="AE227" s="328"/>
      <c r="AF227" s="328"/>
      <c r="AG227" s="328"/>
      <c r="AH227" s="328"/>
      <c r="AI227" s="328"/>
      <c r="AJ227" s="328"/>
      <c r="AK227" s="328"/>
      <c r="AL227" s="404">
        <f>76000000+860670629+11790000</f>
        <v>948460629</v>
      </c>
      <c r="AM227" s="404">
        <v>936669818</v>
      </c>
      <c r="AN227" s="404">
        <v>936669818</v>
      </c>
      <c r="AO227" s="328"/>
      <c r="AP227" s="328"/>
      <c r="AQ227" s="328"/>
      <c r="AR227" s="328"/>
      <c r="AS227" s="328"/>
      <c r="AT227" s="328"/>
      <c r="AU227" s="328">
        <f t="shared" si="11"/>
        <v>948460629</v>
      </c>
      <c r="AV227" s="328">
        <f t="shared" si="14"/>
        <v>936669818</v>
      </c>
      <c r="AW227" s="328">
        <f t="shared" si="15"/>
        <v>936669818</v>
      </c>
      <c r="AX227" s="330" t="s">
        <v>618</v>
      </c>
      <c r="AY227" s="331"/>
      <c r="AZ227" s="331"/>
      <c r="BA227" s="331"/>
      <c r="BB227" s="331"/>
      <c r="BC227" s="331"/>
      <c r="BD227" s="331"/>
      <c r="BE227" s="331"/>
      <c r="BF227" s="331"/>
      <c r="BG227" s="331"/>
      <c r="BH227" s="331"/>
      <c r="BI227" s="331"/>
      <c r="BJ227" s="331"/>
      <c r="BK227" s="331"/>
      <c r="BL227" s="331"/>
      <c r="BM227" s="331"/>
      <c r="BN227" s="331"/>
      <c r="BO227" s="331"/>
      <c r="BP227" s="331"/>
      <c r="BQ227" s="331"/>
      <c r="BR227" s="331"/>
      <c r="BS227" s="331"/>
      <c r="BT227" s="331"/>
      <c r="BU227" s="331"/>
      <c r="BV227" s="331"/>
      <c r="BW227" s="331"/>
      <c r="BX227" s="331"/>
      <c r="BY227" s="331"/>
      <c r="BZ227" s="331"/>
      <c r="CA227" s="331"/>
      <c r="CB227" s="331"/>
      <c r="CC227" s="331"/>
      <c r="CD227" s="331"/>
      <c r="CE227" s="331"/>
      <c r="CF227" s="331"/>
      <c r="CG227" s="331"/>
      <c r="CH227" s="331"/>
      <c r="CI227" s="331"/>
      <c r="CJ227" s="331"/>
      <c r="CK227" s="331"/>
      <c r="CL227" s="331"/>
      <c r="CM227" s="331"/>
      <c r="CN227" s="331"/>
      <c r="CO227" s="331"/>
      <c r="CP227" s="331"/>
      <c r="CQ227" s="331"/>
      <c r="CR227" s="331"/>
      <c r="CS227" s="331"/>
      <c r="CT227" s="331"/>
      <c r="CU227" s="331"/>
      <c r="CV227" s="331"/>
      <c r="CW227" s="331"/>
      <c r="CX227" s="331"/>
      <c r="CY227" s="331"/>
      <c r="CZ227" s="331"/>
      <c r="DA227" s="331"/>
      <c r="DB227" s="331"/>
      <c r="DC227" s="331"/>
      <c r="DD227" s="331"/>
      <c r="DE227" s="331"/>
      <c r="DF227" s="331"/>
      <c r="DG227" s="331"/>
      <c r="DH227" s="331"/>
      <c r="DI227" s="331"/>
      <c r="DJ227" s="331"/>
      <c r="DK227" s="331"/>
      <c r="DL227" s="331"/>
      <c r="DM227" s="331"/>
      <c r="DN227" s="331"/>
      <c r="DO227" s="331"/>
      <c r="DP227" s="331"/>
      <c r="DQ227" s="331"/>
      <c r="DR227" s="331"/>
      <c r="DS227" s="331"/>
      <c r="DT227" s="331"/>
      <c r="DU227" s="331"/>
      <c r="DV227" s="331"/>
      <c r="DW227" s="331"/>
      <c r="DX227" s="331"/>
      <c r="DY227" s="331"/>
    </row>
    <row r="228" spans="1:129" s="332" customFormat="1" ht="63.75" x14ac:dyDescent="0.25">
      <c r="A228" s="277">
        <v>314</v>
      </c>
      <c r="B228" s="325" t="s">
        <v>614</v>
      </c>
      <c r="C228" s="259"/>
      <c r="D228" s="325"/>
      <c r="E228" s="259">
        <v>1</v>
      </c>
      <c r="F228" s="325" t="s">
        <v>112</v>
      </c>
      <c r="G228" s="259">
        <v>22</v>
      </c>
      <c r="H228" s="440" t="s">
        <v>113</v>
      </c>
      <c r="I228" s="259">
        <v>2201</v>
      </c>
      <c r="J228" s="325" t="s">
        <v>114</v>
      </c>
      <c r="K228" s="259">
        <v>2201030</v>
      </c>
      <c r="L228" s="325" t="s">
        <v>615</v>
      </c>
      <c r="M228" s="274">
        <v>220103000</v>
      </c>
      <c r="N228" s="474" t="s">
        <v>616</v>
      </c>
      <c r="O228" s="272" t="s">
        <v>26</v>
      </c>
      <c r="P228" s="303">
        <v>2540</v>
      </c>
      <c r="Q228" s="303">
        <v>2144</v>
      </c>
      <c r="R228" s="281">
        <v>2024003630023</v>
      </c>
      <c r="S228" s="464" t="s">
        <v>629</v>
      </c>
      <c r="T228" s="328"/>
      <c r="U228" s="328"/>
      <c r="V228" s="328"/>
      <c r="W228" s="328"/>
      <c r="X228" s="328"/>
      <c r="Y228" s="328"/>
      <c r="Z228" s="328"/>
      <c r="AA228" s="328"/>
      <c r="AB228" s="328"/>
      <c r="AC228" s="328"/>
      <c r="AD228" s="328"/>
      <c r="AE228" s="328"/>
      <c r="AF228" s="328">
        <f>689508025+155999875</f>
        <v>845507900</v>
      </c>
      <c r="AG228" s="328">
        <v>681444131</v>
      </c>
      <c r="AH228" s="328">
        <v>411320800</v>
      </c>
      <c r="AI228" s="328"/>
      <c r="AJ228" s="328"/>
      <c r="AK228" s="328"/>
      <c r="AL228" s="404"/>
      <c r="AM228" s="404"/>
      <c r="AN228" s="404"/>
      <c r="AO228" s="328"/>
      <c r="AP228" s="328"/>
      <c r="AQ228" s="328"/>
      <c r="AR228" s="328"/>
      <c r="AS228" s="328"/>
      <c r="AT228" s="328"/>
      <c r="AU228" s="328">
        <f t="shared" si="11"/>
        <v>845507900</v>
      </c>
      <c r="AV228" s="328">
        <f t="shared" si="14"/>
        <v>681444131</v>
      </c>
      <c r="AW228" s="328">
        <f t="shared" si="15"/>
        <v>411320800</v>
      </c>
      <c r="AX228" s="330" t="s">
        <v>618</v>
      </c>
      <c r="AY228" s="331"/>
      <c r="AZ228" s="331"/>
      <c r="BA228" s="331"/>
      <c r="BB228" s="331"/>
      <c r="BC228" s="331"/>
      <c r="BD228" s="331"/>
      <c r="BE228" s="331"/>
      <c r="BF228" s="331"/>
      <c r="BG228" s="331"/>
      <c r="BH228" s="331"/>
      <c r="BI228" s="331"/>
      <c r="BJ228" s="331"/>
      <c r="BK228" s="331"/>
      <c r="BL228" s="331"/>
      <c r="BM228" s="331"/>
      <c r="BN228" s="331"/>
      <c r="BO228" s="331"/>
      <c r="BP228" s="331"/>
      <c r="BQ228" s="331"/>
      <c r="BR228" s="331"/>
      <c r="BS228" s="331"/>
      <c r="BT228" s="331"/>
      <c r="BU228" s="331"/>
      <c r="BV228" s="331"/>
      <c r="BW228" s="331"/>
      <c r="BX228" s="331"/>
      <c r="BY228" s="331"/>
      <c r="BZ228" s="331"/>
      <c r="CA228" s="331"/>
      <c r="CB228" s="331"/>
      <c r="CC228" s="331"/>
      <c r="CD228" s="331"/>
      <c r="CE228" s="331"/>
      <c r="CF228" s="331"/>
      <c r="CG228" s="331"/>
      <c r="CH228" s="331"/>
      <c r="CI228" s="331"/>
      <c r="CJ228" s="331"/>
      <c r="CK228" s="331"/>
      <c r="CL228" s="331"/>
      <c r="CM228" s="331"/>
      <c r="CN228" s="331"/>
      <c r="CO228" s="331"/>
      <c r="CP228" s="331"/>
      <c r="CQ228" s="331"/>
      <c r="CR228" s="331"/>
      <c r="CS228" s="331"/>
      <c r="CT228" s="331"/>
      <c r="CU228" s="331"/>
      <c r="CV228" s="331"/>
      <c r="CW228" s="331"/>
      <c r="CX228" s="331"/>
      <c r="CY228" s="331"/>
      <c r="CZ228" s="331"/>
      <c r="DA228" s="331"/>
      <c r="DB228" s="331"/>
      <c r="DC228" s="331"/>
      <c r="DD228" s="331"/>
      <c r="DE228" s="331"/>
      <c r="DF228" s="331"/>
      <c r="DG228" s="331"/>
      <c r="DH228" s="331"/>
      <c r="DI228" s="331"/>
      <c r="DJ228" s="331"/>
      <c r="DK228" s="331"/>
      <c r="DL228" s="331"/>
      <c r="DM228" s="331"/>
      <c r="DN228" s="331"/>
      <c r="DO228" s="331"/>
      <c r="DP228" s="331"/>
      <c r="DQ228" s="331"/>
      <c r="DR228" s="331"/>
      <c r="DS228" s="331"/>
      <c r="DT228" s="331"/>
      <c r="DU228" s="331"/>
      <c r="DV228" s="331"/>
      <c r="DW228" s="331"/>
      <c r="DX228" s="331"/>
      <c r="DY228" s="331"/>
    </row>
    <row r="229" spans="1:129" s="332" customFormat="1" ht="51" x14ac:dyDescent="0.25">
      <c r="A229" s="277">
        <v>314</v>
      </c>
      <c r="B229" s="325" t="s">
        <v>614</v>
      </c>
      <c r="C229" s="259"/>
      <c r="D229" s="325"/>
      <c r="E229" s="259">
        <v>1</v>
      </c>
      <c r="F229" s="325" t="s">
        <v>112</v>
      </c>
      <c r="G229" s="259">
        <v>22</v>
      </c>
      <c r="H229" s="440" t="s">
        <v>113</v>
      </c>
      <c r="I229" s="259">
        <v>2201</v>
      </c>
      <c r="J229" s="325" t="s">
        <v>114</v>
      </c>
      <c r="K229" s="259">
        <v>2201032</v>
      </c>
      <c r="L229" s="325" t="s">
        <v>631</v>
      </c>
      <c r="M229" s="274">
        <v>220103200</v>
      </c>
      <c r="N229" s="474" t="s">
        <v>632</v>
      </c>
      <c r="O229" s="272" t="s">
        <v>67</v>
      </c>
      <c r="P229" s="272">
        <v>100</v>
      </c>
      <c r="Q229" s="272">
        <v>0</v>
      </c>
      <c r="R229" s="281">
        <v>2024003630023</v>
      </c>
      <c r="S229" s="464" t="s">
        <v>629</v>
      </c>
      <c r="T229" s="328"/>
      <c r="U229" s="328"/>
      <c r="V229" s="328"/>
      <c r="W229" s="328"/>
      <c r="X229" s="328"/>
      <c r="Y229" s="328"/>
      <c r="Z229" s="328"/>
      <c r="AA229" s="328"/>
      <c r="AB229" s="328"/>
      <c r="AC229" s="328"/>
      <c r="AD229" s="328"/>
      <c r="AE229" s="328"/>
      <c r="AF229" s="328"/>
      <c r="AG229" s="328"/>
      <c r="AH229" s="328"/>
      <c r="AI229" s="328"/>
      <c r="AJ229" s="328"/>
      <c r="AK229" s="328"/>
      <c r="AL229" s="404">
        <f>93600000-22100000-10133333-9236667</f>
        <v>52130000</v>
      </c>
      <c r="AM229" s="404">
        <v>52130000</v>
      </c>
      <c r="AN229" s="404">
        <v>35400000</v>
      </c>
      <c r="AO229" s="328"/>
      <c r="AP229" s="328"/>
      <c r="AQ229" s="328"/>
      <c r="AR229" s="328"/>
      <c r="AS229" s="328"/>
      <c r="AT229" s="328"/>
      <c r="AU229" s="328">
        <f t="shared" si="11"/>
        <v>52130000</v>
      </c>
      <c r="AV229" s="328">
        <f t="shared" si="14"/>
        <v>52130000</v>
      </c>
      <c r="AW229" s="328">
        <f t="shared" si="15"/>
        <v>35400000</v>
      </c>
      <c r="AX229" s="330" t="s">
        <v>618</v>
      </c>
      <c r="AY229" s="331"/>
      <c r="AZ229" s="331"/>
      <c r="BA229" s="331"/>
      <c r="BB229" s="331"/>
      <c r="BC229" s="331"/>
      <c r="BD229" s="331"/>
      <c r="BE229" s="331"/>
      <c r="BF229" s="331"/>
      <c r="BG229" s="331"/>
      <c r="BH229" s="331"/>
      <c r="BI229" s="331"/>
      <c r="BJ229" s="331"/>
      <c r="BK229" s="331"/>
      <c r="BL229" s="331"/>
      <c r="BM229" s="331"/>
      <c r="BN229" s="331"/>
      <c r="BO229" s="331"/>
      <c r="BP229" s="331"/>
      <c r="BQ229" s="331"/>
      <c r="BR229" s="331"/>
      <c r="BS229" s="331"/>
      <c r="BT229" s="331"/>
      <c r="BU229" s="331"/>
      <c r="BV229" s="331"/>
      <c r="BW229" s="331"/>
      <c r="BX229" s="331"/>
      <c r="BY229" s="331"/>
      <c r="BZ229" s="331"/>
      <c r="CA229" s="331"/>
      <c r="CB229" s="331"/>
      <c r="CC229" s="331"/>
      <c r="CD229" s="331"/>
      <c r="CE229" s="331"/>
      <c r="CF229" s="331"/>
      <c r="CG229" s="331"/>
      <c r="CH229" s="331"/>
      <c r="CI229" s="331"/>
      <c r="CJ229" s="331"/>
      <c r="CK229" s="331"/>
      <c r="CL229" s="331"/>
      <c r="CM229" s="331"/>
      <c r="CN229" s="331"/>
      <c r="CO229" s="331"/>
      <c r="CP229" s="331"/>
      <c r="CQ229" s="331"/>
      <c r="CR229" s="331"/>
      <c r="CS229" s="331"/>
      <c r="CT229" s="331"/>
      <c r="CU229" s="331"/>
      <c r="CV229" s="331"/>
      <c r="CW229" s="331"/>
      <c r="CX229" s="331"/>
      <c r="CY229" s="331"/>
      <c r="CZ229" s="331"/>
      <c r="DA229" s="331"/>
      <c r="DB229" s="331"/>
      <c r="DC229" s="331"/>
      <c r="DD229" s="331"/>
      <c r="DE229" s="331"/>
      <c r="DF229" s="331"/>
      <c r="DG229" s="331"/>
      <c r="DH229" s="331"/>
      <c r="DI229" s="331"/>
      <c r="DJ229" s="331"/>
      <c r="DK229" s="331"/>
      <c r="DL229" s="331"/>
      <c r="DM229" s="331"/>
      <c r="DN229" s="331"/>
      <c r="DO229" s="331"/>
      <c r="DP229" s="331"/>
      <c r="DQ229" s="331"/>
      <c r="DR229" s="331"/>
      <c r="DS229" s="331"/>
      <c r="DT229" s="331"/>
      <c r="DU229" s="331"/>
      <c r="DV229" s="331"/>
      <c r="DW229" s="331"/>
      <c r="DX229" s="331"/>
      <c r="DY229" s="331"/>
    </row>
    <row r="230" spans="1:129" s="332" customFormat="1" ht="51" x14ac:dyDescent="0.25">
      <c r="A230" s="277">
        <v>314</v>
      </c>
      <c r="B230" s="325" t="s">
        <v>614</v>
      </c>
      <c r="C230" s="259"/>
      <c r="D230" s="325"/>
      <c r="E230" s="259">
        <v>1</v>
      </c>
      <c r="F230" s="325" t="s">
        <v>112</v>
      </c>
      <c r="G230" s="259">
        <v>22</v>
      </c>
      <c r="H230" s="440" t="s">
        <v>113</v>
      </c>
      <c r="I230" s="259">
        <v>2201</v>
      </c>
      <c r="J230" s="325" t="s">
        <v>114</v>
      </c>
      <c r="K230" s="259">
        <v>2201062</v>
      </c>
      <c r="L230" s="325" t="s">
        <v>115</v>
      </c>
      <c r="M230" s="274">
        <v>220106200</v>
      </c>
      <c r="N230" s="474" t="s">
        <v>116</v>
      </c>
      <c r="O230" s="272" t="s">
        <v>67</v>
      </c>
      <c r="P230" s="272">
        <v>50</v>
      </c>
      <c r="Q230" s="272">
        <v>0</v>
      </c>
      <c r="R230" s="281">
        <v>2024003630023</v>
      </c>
      <c r="S230" s="464" t="s">
        <v>629</v>
      </c>
      <c r="T230" s="328"/>
      <c r="U230" s="328"/>
      <c r="V230" s="328"/>
      <c r="W230" s="328"/>
      <c r="X230" s="328"/>
      <c r="Y230" s="328"/>
      <c r="Z230" s="328"/>
      <c r="AA230" s="328"/>
      <c r="AB230" s="328"/>
      <c r="AC230" s="328"/>
      <c r="AD230" s="328"/>
      <c r="AE230" s="328"/>
      <c r="AF230" s="328"/>
      <c r="AG230" s="328"/>
      <c r="AH230" s="328"/>
      <c r="AI230" s="328"/>
      <c r="AJ230" s="328"/>
      <c r="AK230" s="328"/>
      <c r="AL230" s="404">
        <f>117316000-92358000+41588329.94</f>
        <v>66546329.939999998</v>
      </c>
      <c r="AM230" s="404">
        <v>15890000</v>
      </c>
      <c r="AN230" s="404">
        <v>4300000</v>
      </c>
      <c r="AO230" s="328">
        <v>57211000</v>
      </c>
      <c r="AP230" s="328"/>
      <c r="AQ230" s="328"/>
      <c r="AR230" s="328"/>
      <c r="AS230" s="328"/>
      <c r="AT230" s="328"/>
      <c r="AU230" s="328">
        <f t="shared" si="11"/>
        <v>123757329.94</v>
      </c>
      <c r="AV230" s="328">
        <f t="shared" si="14"/>
        <v>15890000</v>
      </c>
      <c r="AW230" s="328">
        <f t="shared" si="15"/>
        <v>4300000</v>
      </c>
      <c r="AX230" s="330" t="s">
        <v>618</v>
      </c>
      <c r="AY230" s="331"/>
      <c r="AZ230" s="331"/>
      <c r="BA230" s="331"/>
      <c r="BB230" s="331"/>
      <c r="BC230" s="331"/>
      <c r="BD230" s="331"/>
      <c r="BE230" s="331"/>
      <c r="BF230" s="331"/>
      <c r="BG230" s="331"/>
      <c r="BH230" s="331"/>
      <c r="BI230" s="331"/>
      <c r="BJ230" s="331"/>
      <c r="BK230" s="331"/>
      <c r="BL230" s="331"/>
      <c r="BM230" s="331"/>
      <c r="BN230" s="331"/>
      <c r="BO230" s="331"/>
      <c r="BP230" s="331"/>
      <c r="BQ230" s="331"/>
      <c r="BR230" s="331"/>
      <c r="BS230" s="331"/>
      <c r="BT230" s="331"/>
      <c r="BU230" s="331"/>
      <c r="BV230" s="331"/>
      <c r="BW230" s="331"/>
      <c r="BX230" s="331"/>
      <c r="BY230" s="331"/>
      <c r="BZ230" s="331"/>
      <c r="CA230" s="331"/>
      <c r="CB230" s="331"/>
      <c r="CC230" s="331"/>
      <c r="CD230" s="331"/>
      <c r="CE230" s="331"/>
      <c r="CF230" s="331"/>
      <c r="CG230" s="331"/>
      <c r="CH230" s="331"/>
      <c r="CI230" s="331"/>
      <c r="CJ230" s="331"/>
      <c r="CK230" s="331"/>
      <c r="CL230" s="331"/>
      <c r="CM230" s="331"/>
      <c r="CN230" s="331"/>
      <c r="CO230" s="331"/>
      <c r="CP230" s="331"/>
      <c r="CQ230" s="331"/>
      <c r="CR230" s="331"/>
      <c r="CS230" s="331"/>
      <c r="CT230" s="331"/>
      <c r="CU230" s="331"/>
      <c r="CV230" s="331"/>
      <c r="CW230" s="331"/>
      <c r="CX230" s="331"/>
      <c r="CY230" s="331"/>
      <c r="CZ230" s="331"/>
      <c r="DA230" s="331"/>
      <c r="DB230" s="331"/>
      <c r="DC230" s="331"/>
      <c r="DD230" s="331"/>
      <c r="DE230" s="331"/>
      <c r="DF230" s="331"/>
      <c r="DG230" s="331"/>
      <c r="DH230" s="331"/>
      <c r="DI230" s="331"/>
      <c r="DJ230" s="331"/>
      <c r="DK230" s="331"/>
      <c r="DL230" s="331"/>
      <c r="DM230" s="331"/>
      <c r="DN230" s="331"/>
      <c r="DO230" s="331"/>
      <c r="DP230" s="331"/>
      <c r="DQ230" s="331"/>
      <c r="DR230" s="331"/>
      <c r="DS230" s="331"/>
      <c r="DT230" s="331"/>
      <c r="DU230" s="331"/>
      <c r="DV230" s="331"/>
      <c r="DW230" s="331"/>
      <c r="DX230" s="331"/>
      <c r="DY230" s="331"/>
    </row>
    <row r="231" spans="1:129" s="332" customFormat="1" ht="51" x14ac:dyDescent="0.25">
      <c r="A231" s="277">
        <v>314</v>
      </c>
      <c r="B231" s="325" t="s">
        <v>614</v>
      </c>
      <c r="C231" s="259"/>
      <c r="D231" s="325"/>
      <c r="E231" s="259">
        <v>1</v>
      </c>
      <c r="F231" s="325" t="s">
        <v>112</v>
      </c>
      <c r="G231" s="259">
        <v>22</v>
      </c>
      <c r="H231" s="440" t="s">
        <v>113</v>
      </c>
      <c r="I231" s="259">
        <v>2201</v>
      </c>
      <c r="J231" s="325" t="s">
        <v>114</v>
      </c>
      <c r="K231" s="259">
        <v>2201069</v>
      </c>
      <c r="L231" s="325" t="s">
        <v>625</v>
      </c>
      <c r="M231" s="274">
        <v>220106900</v>
      </c>
      <c r="N231" s="474" t="s">
        <v>626</v>
      </c>
      <c r="O231" s="272" t="s">
        <v>67</v>
      </c>
      <c r="P231" s="272">
        <v>10</v>
      </c>
      <c r="Q231" s="272">
        <v>0</v>
      </c>
      <c r="R231" s="281">
        <v>2024003630023</v>
      </c>
      <c r="S231" s="464" t="s">
        <v>629</v>
      </c>
      <c r="T231" s="328"/>
      <c r="U231" s="328"/>
      <c r="V231" s="328"/>
      <c r="W231" s="328"/>
      <c r="X231" s="328"/>
      <c r="Y231" s="328"/>
      <c r="Z231" s="328"/>
      <c r="AA231" s="328"/>
      <c r="AB231" s="328"/>
      <c r="AC231" s="328"/>
      <c r="AD231" s="328"/>
      <c r="AE231" s="328"/>
      <c r="AF231" s="328">
        <f>489152310.42+248000000+3827993-280000000+462039</f>
        <v>461442342.42000008</v>
      </c>
      <c r="AG231" s="328"/>
      <c r="AH231" s="328"/>
      <c r="AI231" s="328"/>
      <c r="AJ231" s="328"/>
      <c r="AK231" s="328"/>
      <c r="AL231" s="404"/>
      <c r="AM231" s="404"/>
      <c r="AN231" s="404"/>
      <c r="AO231" s="328"/>
      <c r="AP231" s="328"/>
      <c r="AQ231" s="328"/>
      <c r="AR231" s="328"/>
      <c r="AS231" s="328"/>
      <c r="AT231" s="328"/>
      <c r="AU231" s="328">
        <f t="shared" si="11"/>
        <v>461442342.42000008</v>
      </c>
      <c r="AV231" s="328">
        <f t="shared" si="14"/>
        <v>0</v>
      </c>
      <c r="AW231" s="328">
        <f t="shared" si="15"/>
        <v>0</v>
      </c>
      <c r="AX231" s="330" t="s">
        <v>618</v>
      </c>
      <c r="AY231" s="331"/>
      <c r="AZ231" s="331"/>
      <c r="BA231" s="331"/>
      <c r="BB231" s="331"/>
      <c r="BC231" s="331"/>
      <c r="BD231" s="331"/>
      <c r="BE231" s="331"/>
      <c r="BF231" s="331"/>
      <c r="BG231" s="331"/>
      <c r="BH231" s="331"/>
      <c r="BI231" s="331"/>
      <c r="BJ231" s="331"/>
      <c r="BK231" s="331"/>
      <c r="BL231" s="331"/>
      <c r="BM231" s="331"/>
      <c r="BN231" s="331"/>
      <c r="BO231" s="331"/>
      <c r="BP231" s="331"/>
      <c r="BQ231" s="331"/>
      <c r="BR231" s="331"/>
      <c r="BS231" s="331"/>
      <c r="BT231" s="331"/>
      <c r="BU231" s="331"/>
      <c r="BV231" s="331"/>
      <c r="BW231" s="331"/>
      <c r="BX231" s="331"/>
      <c r="BY231" s="331"/>
      <c r="BZ231" s="331"/>
      <c r="CA231" s="331"/>
      <c r="CB231" s="331"/>
      <c r="CC231" s="331"/>
      <c r="CD231" s="331"/>
      <c r="CE231" s="331"/>
      <c r="CF231" s="331"/>
      <c r="CG231" s="331"/>
      <c r="CH231" s="331"/>
      <c r="CI231" s="331"/>
      <c r="CJ231" s="331"/>
      <c r="CK231" s="331"/>
      <c r="CL231" s="331"/>
      <c r="CM231" s="331"/>
      <c r="CN231" s="331"/>
      <c r="CO231" s="331"/>
      <c r="CP231" s="331"/>
      <c r="CQ231" s="331"/>
      <c r="CR231" s="331"/>
      <c r="CS231" s="331"/>
      <c r="CT231" s="331"/>
      <c r="CU231" s="331"/>
      <c r="CV231" s="331"/>
      <c r="CW231" s="331"/>
      <c r="CX231" s="331"/>
      <c r="CY231" s="331"/>
      <c r="CZ231" s="331"/>
      <c r="DA231" s="331"/>
      <c r="DB231" s="331"/>
      <c r="DC231" s="331"/>
      <c r="DD231" s="331"/>
      <c r="DE231" s="331"/>
      <c r="DF231" s="331"/>
      <c r="DG231" s="331"/>
      <c r="DH231" s="331"/>
      <c r="DI231" s="331"/>
      <c r="DJ231" s="331"/>
      <c r="DK231" s="331"/>
      <c r="DL231" s="331"/>
      <c r="DM231" s="331"/>
      <c r="DN231" s="331"/>
      <c r="DO231" s="331"/>
      <c r="DP231" s="331"/>
      <c r="DQ231" s="331"/>
      <c r="DR231" s="331"/>
      <c r="DS231" s="331"/>
      <c r="DT231" s="331"/>
      <c r="DU231" s="331"/>
      <c r="DV231" s="331"/>
      <c r="DW231" s="331"/>
      <c r="DX231" s="331"/>
      <c r="DY231" s="331"/>
    </row>
    <row r="232" spans="1:129" s="332" customFormat="1" ht="76.5" x14ac:dyDescent="0.25">
      <c r="A232" s="277">
        <v>314</v>
      </c>
      <c r="B232" s="325" t="s">
        <v>614</v>
      </c>
      <c r="C232" s="259"/>
      <c r="D232" s="325"/>
      <c r="E232" s="259">
        <v>1</v>
      </c>
      <c r="F232" s="325" t="s">
        <v>112</v>
      </c>
      <c r="G232" s="259">
        <v>22</v>
      </c>
      <c r="H232" s="440" t="s">
        <v>113</v>
      </c>
      <c r="I232" s="259">
        <v>2201</v>
      </c>
      <c r="J232" s="325" t="s">
        <v>114</v>
      </c>
      <c r="K232" s="259">
        <v>2201077</v>
      </c>
      <c r="L232" s="325" t="s">
        <v>633</v>
      </c>
      <c r="M232" s="274">
        <v>220107700</v>
      </c>
      <c r="N232" s="474" t="s">
        <v>634</v>
      </c>
      <c r="O232" s="272" t="s">
        <v>26</v>
      </c>
      <c r="P232" s="272">
        <v>1</v>
      </c>
      <c r="Q232" s="272">
        <v>0</v>
      </c>
      <c r="R232" s="281">
        <v>2024003630023</v>
      </c>
      <c r="S232" s="464" t="s">
        <v>629</v>
      </c>
      <c r="T232" s="328"/>
      <c r="U232" s="328"/>
      <c r="V232" s="328"/>
      <c r="W232" s="328"/>
      <c r="X232" s="328"/>
      <c r="Y232" s="328"/>
      <c r="Z232" s="328"/>
      <c r="AA232" s="328"/>
      <c r="AB232" s="328"/>
      <c r="AC232" s="328"/>
      <c r="AD232" s="328"/>
      <c r="AE232" s="328"/>
      <c r="AF232" s="328">
        <f>1840201+302080</f>
        <v>2142281</v>
      </c>
      <c r="AG232" s="328">
        <v>2142281</v>
      </c>
      <c r="AH232" s="328">
        <v>2142281</v>
      </c>
      <c r="AI232" s="328"/>
      <c r="AJ232" s="328"/>
      <c r="AK232" s="328"/>
      <c r="AL232" s="404">
        <f>93600000-28000000</f>
        <v>65600000</v>
      </c>
      <c r="AM232" s="404">
        <v>65600000</v>
      </c>
      <c r="AN232" s="404">
        <v>50000000</v>
      </c>
      <c r="AO232" s="328"/>
      <c r="AP232" s="328"/>
      <c r="AQ232" s="328"/>
      <c r="AR232" s="328"/>
      <c r="AS232" s="328"/>
      <c r="AT232" s="328"/>
      <c r="AU232" s="328">
        <f t="shared" si="11"/>
        <v>67742281</v>
      </c>
      <c r="AV232" s="328">
        <f t="shared" si="14"/>
        <v>67742281</v>
      </c>
      <c r="AW232" s="328">
        <f t="shared" si="15"/>
        <v>52142281</v>
      </c>
      <c r="AX232" s="330" t="s">
        <v>618</v>
      </c>
      <c r="AY232" s="331"/>
      <c r="AZ232" s="331"/>
      <c r="BA232" s="331"/>
      <c r="BB232" s="331"/>
      <c r="BC232" s="331"/>
      <c r="BD232" s="331"/>
      <c r="BE232" s="331"/>
      <c r="BF232" s="331"/>
      <c r="BG232" s="331"/>
      <c r="BH232" s="331"/>
      <c r="BI232" s="331"/>
      <c r="BJ232" s="331"/>
      <c r="BK232" s="331"/>
      <c r="BL232" s="331"/>
      <c r="BM232" s="331"/>
      <c r="BN232" s="331"/>
      <c r="BO232" s="331"/>
      <c r="BP232" s="331"/>
      <c r="BQ232" s="331"/>
      <c r="BR232" s="331"/>
      <c r="BS232" s="331"/>
      <c r="BT232" s="331"/>
      <c r="BU232" s="331"/>
      <c r="BV232" s="331"/>
      <c r="BW232" s="331"/>
      <c r="BX232" s="331"/>
      <c r="BY232" s="331"/>
      <c r="BZ232" s="331"/>
      <c r="CA232" s="331"/>
      <c r="CB232" s="331"/>
      <c r="CC232" s="331"/>
      <c r="CD232" s="331"/>
      <c r="CE232" s="331"/>
      <c r="CF232" s="331"/>
      <c r="CG232" s="331"/>
      <c r="CH232" s="331"/>
      <c r="CI232" s="331"/>
      <c r="CJ232" s="331"/>
      <c r="CK232" s="331"/>
      <c r="CL232" s="331"/>
      <c r="CM232" s="331"/>
      <c r="CN232" s="331"/>
      <c r="CO232" s="331"/>
      <c r="CP232" s="331"/>
      <c r="CQ232" s="331"/>
      <c r="CR232" s="331"/>
      <c r="CS232" s="331"/>
      <c r="CT232" s="331"/>
      <c r="CU232" s="331"/>
      <c r="CV232" s="331"/>
      <c r="CW232" s="331"/>
      <c r="CX232" s="331"/>
      <c r="CY232" s="331"/>
      <c r="CZ232" s="331"/>
      <c r="DA232" s="331"/>
      <c r="DB232" s="331"/>
      <c r="DC232" s="331"/>
      <c r="DD232" s="331"/>
      <c r="DE232" s="331"/>
      <c r="DF232" s="331"/>
      <c r="DG232" s="331"/>
      <c r="DH232" s="331"/>
      <c r="DI232" s="331"/>
      <c r="DJ232" s="331"/>
      <c r="DK232" s="331"/>
      <c r="DL232" s="331"/>
      <c r="DM232" s="331"/>
      <c r="DN232" s="331"/>
      <c r="DO232" s="331"/>
      <c r="DP232" s="331"/>
      <c r="DQ232" s="331"/>
      <c r="DR232" s="331"/>
      <c r="DS232" s="331"/>
      <c r="DT232" s="331"/>
      <c r="DU232" s="331"/>
      <c r="DV232" s="331"/>
      <c r="DW232" s="331"/>
      <c r="DX232" s="331"/>
      <c r="DY232" s="331"/>
    </row>
    <row r="233" spans="1:129" s="459" customFormat="1" ht="76.5" x14ac:dyDescent="0.25">
      <c r="A233" s="292">
        <v>314</v>
      </c>
      <c r="B233" s="454" t="s">
        <v>614</v>
      </c>
      <c r="C233" s="292">
        <v>1</v>
      </c>
      <c r="D233" s="454" t="s">
        <v>105</v>
      </c>
      <c r="E233" s="292">
        <v>1</v>
      </c>
      <c r="F233" s="454" t="s">
        <v>112</v>
      </c>
      <c r="G233" s="292">
        <v>22</v>
      </c>
      <c r="H233" s="454" t="s">
        <v>113</v>
      </c>
      <c r="I233" s="292">
        <v>2201</v>
      </c>
      <c r="J233" s="454" t="s">
        <v>114</v>
      </c>
      <c r="K233" s="292">
        <v>2201037</v>
      </c>
      <c r="L233" s="454" t="s">
        <v>635</v>
      </c>
      <c r="M233" s="294">
        <v>220103700</v>
      </c>
      <c r="N233" s="453" t="s">
        <v>636</v>
      </c>
      <c r="O233" s="299" t="s">
        <v>26</v>
      </c>
      <c r="P233" s="299">
        <v>54</v>
      </c>
      <c r="Q233" s="299">
        <v>54</v>
      </c>
      <c r="R233" s="337">
        <v>2020003630092</v>
      </c>
      <c r="S233" s="458" t="s">
        <v>637</v>
      </c>
      <c r="T233" s="457"/>
      <c r="U233" s="457"/>
      <c r="V233" s="457"/>
      <c r="W233" s="457"/>
      <c r="X233" s="457"/>
      <c r="Y233" s="457"/>
      <c r="Z233" s="457"/>
      <c r="AA233" s="457"/>
      <c r="AB233" s="457"/>
      <c r="AC233" s="457"/>
      <c r="AD233" s="457"/>
      <c r="AE233" s="457"/>
      <c r="AF233" s="457"/>
      <c r="AG233" s="457"/>
      <c r="AH233" s="457"/>
      <c r="AI233" s="457"/>
      <c r="AJ233" s="457"/>
      <c r="AK233" s="457"/>
      <c r="AL233" s="470">
        <f>60000000+695000000-173916000</f>
        <v>581084000</v>
      </c>
      <c r="AM233" s="470">
        <v>581084000</v>
      </c>
      <c r="AN233" s="470">
        <v>581084000</v>
      </c>
      <c r="AO233" s="457"/>
      <c r="AP233" s="457"/>
      <c r="AQ233" s="457"/>
      <c r="AR233" s="457"/>
      <c r="AS233" s="457"/>
      <c r="AT233" s="457"/>
      <c r="AU233" s="457">
        <f t="shared" si="11"/>
        <v>581084000</v>
      </c>
      <c r="AV233" s="457">
        <f t="shared" si="14"/>
        <v>581084000</v>
      </c>
      <c r="AW233" s="457">
        <f t="shared" si="15"/>
        <v>581084000</v>
      </c>
      <c r="AX233" s="475" t="s">
        <v>618</v>
      </c>
    </row>
    <row r="234" spans="1:129" s="459" customFormat="1" ht="51" x14ac:dyDescent="0.25">
      <c r="A234" s="292">
        <v>314</v>
      </c>
      <c r="B234" s="454" t="s">
        <v>614</v>
      </c>
      <c r="C234" s="292">
        <v>1</v>
      </c>
      <c r="D234" s="454" t="s">
        <v>105</v>
      </c>
      <c r="E234" s="292">
        <v>1</v>
      </c>
      <c r="F234" s="454" t="s">
        <v>112</v>
      </c>
      <c r="G234" s="292">
        <v>22</v>
      </c>
      <c r="H234" s="454" t="s">
        <v>113</v>
      </c>
      <c r="I234" s="292">
        <v>2201</v>
      </c>
      <c r="J234" s="454" t="s">
        <v>114</v>
      </c>
      <c r="K234" s="292">
        <v>2201006</v>
      </c>
      <c r="L234" s="454" t="s">
        <v>638</v>
      </c>
      <c r="M234" s="294">
        <v>220100600</v>
      </c>
      <c r="N234" s="453" t="s">
        <v>639</v>
      </c>
      <c r="O234" s="299" t="s">
        <v>26</v>
      </c>
      <c r="P234" s="299">
        <v>54</v>
      </c>
      <c r="Q234" s="299">
        <v>54</v>
      </c>
      <c r="R234" s="337">
        <v>2020003630016</v>
      </c>
      <c r="S234" s="454" t="s">
        <v>640</v>
      </c>
      <c r="T234" s="457"/>
      <c r="U234" s="457"/>
      <c r="V234" s="457"/>
      <c r="W234" s="457"/>
      <c r="X234" s="457"/>
      <c r="Y234" s="457"/>
      <c r="Z234" s="457"/>
      <c r="AA234" s="457"/>
      <c r="AB234" s="457"/>
      <c r="AC234" s="457"/>
      <c r="AD234" s="457"/>
      <c r="AE234" s="457"/>
      <c r="AF234" s="470"/>
      <c r="AG234" s="470"/>
      <c r="AH234" s="470"/>
      <c r="AI234" s="457"/>
      <c r="AJ234" s="457"/>
      <c r="AK234" s="457"/>
      <c r="AL234" s="470">
        <f>100000000-30000000+39241283.08+80000000-541283.08</f>
        <v>188699999.99999997</v>
      </c>
      <c r="AM234" s="470">
        <v>188700000</v>
      </c>
      <c r="AN234" s="470">
        <v>185200000</v>
      </c>
      <c r="AO234" s="457"/>
      <c r="AP234" s="457"/>
      <c r="AQ234" s="457"/>
      <c r="AR234" s="457"/>
      <c r="AS234" s="457"/>
      <c r="AT234" s="457"/>
      <c r="AU234" s="457">
        <f t="shared" ref="AU234:AU287" si="16">SUM(T234,W234,Z234,AC234,AF234,AI234,AL234,AO234,AR234)</f>
        <v>188699999.99999997</v>
      </c>
      <c r="AV234" s="457">
        <f t="shared" si="14"/>
        <v>188700000</v>
      </c>
      <c r="AW234" s="457">
        <f t="shared" si="15"/>
        <v>185200000</v>
      </c>
      <c r="AX234" s="475" t="s">
        <v>618</v>
      </c>
    </row>
    <row r="235" spans="1:129" s="332" customFormat="1" ht="63.75" x14ac:dyDescent="0.25">
      <c r="A235" s="277">
        <v>314</v>
      </c>
      <c r="B235" s="325" t="s">
        <v>614</v>
      </c>
      <c r="C235" s="259"/>
      <c r="D235" s="325"/>
      <c r="E235" s="259">
        <v>1</v>
      </c>
      <c r="F235" s="325" t="s">
        <v>112</v>
      </c>
      <c r="G235" s="305">
        <v>22</v>
      </c>
      <c r="H235" s="440" t="s">
        <v>113</v>
      </c>
      <c r="I235" s="305">
        <v>2201</v>
      </c>
      <c r="J235" s="333" t="s">
        <v>114</v>
      </c>
      <c r="K235" s="282" t="s">
        <v>641</v>
      </c>
      <c r="L235" s="385" t="s">
        <v>642</v>
      </c>
      <c r="M235" s="267">
        <v>220106000</v>
      </c>
      <c r="N235" s="474" t="s">
        <v>643</v>
      </c>
      <c r="O235" s="272" t="s">
        <v>67</v>
      </c>
      <c r="P235" s="303">
        <v>50</v>
      </c>
      <c r="Q235" s="303">
        <v>0</v>
      </c>
      <c r="R235" s="281">
        <v>2024003630022</v>
      </c>
      <c r="S235" s="325" t="s">
        <v>644</v>
      </c>
      <c r="T235" s="328"/>
      <c r="U235" s="328"/>
      <c r="V235" s="328"/>
      <c r="W235" s="328"/>
      <c r="X235" s="328"/>
      <c r="Y235" s="328"/>
      <c r="Z235" s="328"/>
      <c r="AA235" s="328"/>
      <c r="AB235" s="328"/>
      <c r="AC235" s="328"/>
      <c r="AD235" s="328"/>
      <c r="AE235" s="328"/>
      <c r="AF235" s="404"/>
      <c r="AG235" s="404"/>
      <c r="AH235" s="404"/>
      <c r="AI235" s="328"/>
      <c r="AJ235" s="328"/>
      <c r="AK235" s="328"/>
      <c r="AL235" s="404">
        <v>5000000</v>
      </c>
      <c r="AM235" s="404">
        <v>5000000</v>
      </c>
      <c r="AN235" s="404"/>
      <c r="AO235" s="328"/>
      <c r="AP235" s="328"/>
      <c r="AQ235" s="328"/>
      <c r="AR235" s="328"/>
      <c r="AS235" s="328"/>
      <c r="AT235" s="328"/>
      <c r="AU235" s="328">
        <f t="shared" si="16"/>
        <v>5000000</v>
      </c>
      <c r="AV235" s="328">
        <f t="shared" si="14"/>
        <v>5000000</v>
      </c>
      <c r="AW235" s="328">
        <f t="shared" si="15"/>
        <v>0</v>
      </c>
      <c r="AX235" s="330" t="s">
        <v>618</v>
      </c>
      <c r="AY235" s="331"/>
      <c r="AZ235" s="331"/>
      <c r="BA235" s="331"/>
      <c r="BB235" s="331"/>
      <c r="BC235" s="331"/>
      <c r="BD235" s="331"/>
      <c r="BE235" s="331"/>
      <c r="BF235" s="331"/>
      <c r="BG235" s="331"/>
      <c r="BH235" s="331"/>
      <c r="BI235" s="331"/>
      <c r="BJ235" s="331"/>
      <c r="BK235" s="331"/>
      <c r="BL235" s="331"/>
      <c r="BM235" s="331"/>
      <c r="BN235" s="331"/>
      <c r="BO235" s="331"/>
      <c r="BP235" s="331"/>
      <c r="BQ235" s="331"/>
      <c r="BR235" s="331"/>
      <c r="BS235" s="331"/>
      <c r="BT235" s="331"/>
      <c r="BU235" s="331"/>
      <c r="BV235" s="331"/>
      <c r="BW235" s="331"/>
      <c r="BX235" s="331"/>
      <c r="BY235" s="331"/>
      <c r="BZ235" s="331"/>
      <c r="CA235" s="331"/>
      <c r="CB235" s="331"/>
      <c r="CC235" s="331"/>
      <c r="CD235" s="331"/>
      <c r="CE235" s="331"/>
      <c r="CF235" s="331"/>
      <c r="CG235" s="331"/>
      <c r="CH235" s="331"/>
      <c r="CI235" s="331"/>
      <c r="CJ235" s="331"/>
      <c r="CK235" s="331"/>
      <c r="CL235" s="331"/>
      <c r="CM235" s="331"/>
      <c r="CN235" s="331"/>
      <c r="CO235" s="331"/>
      <c r="CP235" s="331"/>
      <c r="CQ235" s="331"/>
      <c r="CR235" s="331"/>
      <c r="CS235" s="331"/>
      <c r="CT235" s="331"/>
      <c r="CU235" s="331"/>
      <c r="CV235" s="331"/>
      <c r="CW235" s="331"/>
      <c r="CX235" s="331"/>
      <c r="CY235" s="331"/>
      <c r="CZ235" s="331"/>
      <c r="DA235" s="331"/>
      <c r="DB235" s="331"/>
      <c r="DC235" s="331"/>
      <c r="DD235" s="331"/>
      <c r="DE235" s="331"/>
      <c r="DF235" s="331"/>
      <c r="DG235" s="331"/>
      <c r="DH235" s="331"/>
      <c r="DI235" s="331"/>
      <c r="DJ235" s="331"/>
      <c r="DK235" s="331"/>
      <c r="DL235" s="331"/>
      <c r="DM235" s="331"/>
      <c r="DN235" s="331"/>
      <c r="DO235" s="331"/>
      <c r="DP235" s="331"/>
      <c r="DQ235" s="331"/>
      <c r="DR235" s="331"/>
      <c r="DS235" s="331"/>
      <c r="DT235" s="331"/>
      <c r="DU235" s="331"/>
      <c r="DV235" s="331"/>
      <c r="DW235" s="331"/>
      <c r="DX235" s="331"/>
      <c r="DY235" s="331"/>
    </row>
    <row r="236" spans="1:129" s="332" customFormat="1" ht="63.75" x14ac:dyDescent="0.25">
      <c r="A236" s="277">
        <v>314</v>
      </c>
      <c r="B236" s="325" t="s">
        <v>614</v>
      </c>
      <c r="C236" s="259"/>
      <c r="D236" s="325"/>
      <c r="E236" s="259">
        <v>1</v>
      </c>
      <c r="F236" s="325" t="s">
        <v>112</v>
      </c>
      <c r="G236" s="305">
        <v>22</v>
      </c>
      <c r="H236" s="440" t="s">
        <v>113</v>
      </c>
      <c r="I236" s="305">
        <v>2201</v>
      </c>
      <c r="J236" s="333" t="s">
        <v>114</v>
      </c>
      <c r="K236" s="272">
        <v>2201034</v>
      </c>
      <c r="L236" s="333" t="s">
        <v>645</v>
      </c>
      <c r="M236" s="267">
        <v>220103400</v>
      </c>
      <c r="N236" s="474" t="s">
        <v>646</v>
      </c>
      <c r="O236" s="272" t="s">
        <v>26</v>
      </c>
      <c r="P236" s="303">
        <v>24000</v>
      </c>
      <c r="Q236" s="303">
        <v>0</v>
      </c>
      <c r="R236" s="281">
        <v>2024003630022</v>
      </c>
      <c r="S236" s="325" t="s">
        <v>644</v>
      </c>
      <c r="T236" s="328"/>
      <c r="U236" s="328"/>
      <c r="V236" s="328"/>
      <c r="W236" s="328"/>
      <c r="X236" s="328"/>
      <c r="Y236" s="328"/>
      <c r="Z236" s="328"/>
      <c r="AA236" s="328"/>
      <c r="AB236" s="328"/>
      <c r="AC236" s="328"/>
      <c r="AD236" s="328"/>
      <c r="AE236" s="328"/>
      <c r="AF236" s="404"/>
      <c r="AG236" s="404"/>
      <c r="AH236" s="404"/>
      <c r="AI236" s="328"/>
      <c r="AJ236" s="328"/>
      <c r="AK236" s="328"/>
      <c r="AL236" s="404">
        <f>31500000-9000000+1283333.33</f>
        <v>23783333.329999998</v>
      </c>
      <c r="AM236" s="404">
        <v>20682393.329999998</v>
      </c>
      <c r="AN236" s="404">
        <v>7000000</v>
      </c>
      <c r="AO236" s="328"/>
      <c r="AP236" s="328"/>
      <c r="AQ236" s="328"/>
      <c r="AR236" s="328"/>
      <c r="AS236" s="328"/>
      <c r="AT236" s="328"/>
      <c r="AU236" s="328">
        <f t="shared" si="16"/>
        <v>23783333.329999998</v>
      </c>
      <c r="AV236" s="328">
        <f t="shared" si="14"/>
        <v>20682393.329999998</v>
      </c>
      <c r="AW236" s="328">
        <f t="shared" si="15"/>
        <v>7000000</v>
      </c>
      <c r="AX236" s="330" t="s">
        <v>618</v>
      </c>
      <c r="AY236" s="331"/>
      <c r="AZ236" s="331"/>
      <c r="BA236" s="331"/>
      <c r="BB236" s="331"/>
      <c r="BC236" s="331"/>
      <c r="BD236" s="331"/>
      <c r="BE236" s="331"/>
      <c r="BF236" s="331"/>
      <c r="BG236" s="331"/>
      <c r="BH236" s="331"/>
      <c r="BI236" s="331"/>
      <c r="BJ236" s="331"/>
      <c r="BK236" s="331"/>
      <c r="BL236" s="331"/>
      <c r="BM236" s="331"/>
      <c r="BN236" s="331"/>
      <c r="BO236" s="331"/>
      <c r="BP236" s="331"/>
      <c r="BQ236" s="331"/>
      <c r="BR236" s="331"/>
      <c r="BS236" s="331"/>
      <c r="BT236" s="331"/>
      <c r="BU236" s="331"/>
      <c r="BV236" s="331"/>
      <c r="BW236" s="331"/>
      <c r="BX236" s="331"/>
      <c r="BY236" s="331"/>
      <c r="BZ236" s="331"/>
      <c r="CA236" s="331"/>
      <c r="CB236" s="331"/>
      <c r="CC236" s="331"/>
      <c r="CD236" s="331"/>
      <c r="CE236" s="331"/>
      <c r="CF236" s="331"/>
      <c r="CG236" s="331"/>
      <c r="CH236" s="331"/>
      <c r="CI236" s="331"/>
      <c r="CJ236" s="331"/>
      <c r="CK236" s="331"/>
      <c r="CL236" s="331"/>
      <c r="CM236" s="331"/>
      <c r="CN236" s="331"/>
      <c r="CO236" s="331"/>
      <c r="CP236" s="331"/>
      <c r="CQ236" s="331"/>
      <c r="CR236" s="331"/>
      <c r="CS236" s="331"/>
      <c r="CT236" s="331"/>
      <c r="CU236" s="331"/>
      <c r="CV236" s="331"/>
      <c r="CW236" s="331"/>
      <c r="CX236" s="331"/>
      <c r="CY236" s="331"/>
      <c r="CZ236" s="331"/>
      <c r="DA236" s="331"/>
      <c r="DB236" s="331"/>
      <c r="DC236" s="331"/>
      <c r="DD236" s="331"/>
      <c r="DE236" s="331"/>
      <c r="DF236" s="331"/>
      <c r="DG236" s="331"/>
      <c r="DH236" s="331"/>
      <c r="DI236" s="331"/>
      <c r="DJ236" s="331"/>
      <c r="DK236" s="331"/>
      <c r="DL236" s="331"/>
      <c r="DM236" s="331"/>
      <c r="DN236" s="331"/>
      <c r="DO236" s="331"/>
      <c r="DP236" s="331"/>
      <c r="DQ236" s="331"/>
      <c r="DR236" s="331"/>
      <c r="DS236" s="331"/>
      <c r="DT236" s="331"/>
      <c r="DU236" s="331"/>
      <c r="DV236" s="331"/>
      <c r="DW236" s="331"/>
      <c r="DX236" s="331"/>
      <c r="DY236" s="331"/>
    </row>
    <row r="237" spans="1:129" s="332" customFormat="1" ht="89.25" x14ac:dyDescent="0.25">
      <c r="A237" s="259">
        <v>314</v>
      </c>
      <c r="B237" s="325" t="s">
        <v>614</v>
      </c>
      <c r="C237" s="259"/>
      <c r="D237" s="325"/>
      <c r="E237" s="259">
        <v>1</v>
      </c>
      <c r="F237" s="325" t="s">
        <v>112</v>
      </c>
      <c r="G237" s="305">
        <v>22</v>
      </c>
      <c r="H237" s="440" t="s">
        <v>113</v>
      </c>
      <c r="I237" s="305">
        <v>2201</v>
      </c>
      <c r="J237" s="333" t="s">
        <v>114</v>
      </c>
      <c r="K237" s="272">
        <v>2201037</v>
      </c>
      <c r="L237" s="333" t="s">
        <v>635</v>
      </c>
      <c r="M237" s="267">
        <v>220103700</v>
      </c>
      <c r="N237" s="474" t="s">
        <v>647</v>
      </c>
      <c r="O237" s="272" t="s">
        <v>26</v>
      </c>
      <c r="P237" s="303">
        <v>54</v>
      </c>
      <c r="Q237" s="303">
        <v>54</v>
      </c>
      <c r="R237" s="281">
        <v>2024003630022</v>
      </c>
      <c r="S237" s="325" t="s">
        <v>644</v>
      </c>
      <c r="T237" s="328"/>
      <c r="U237" s="328"/>
      <c r="V237" s="328"/>
      <c r="W237" s="328"/>
      <c r="X237" s="328"/>
      <c r="Y237" s="328"/>
      <c r="Z237" s="328"/>
      <c r="AA237" s="328"/>
      <c r="AB237" s="328"/>
      <c r="AC237" s="328"/>
      <c r="AD237" s="328"/>
      <c r="AE237" s="328"/>
      <c r="AF237" s="404"/>
      <c r="AG237" s="404"/>
      <c r="AH237" s="404"/>
      <c r="AI237" s="328"/>
      <c r="AJ237" s="328"/>
      <c r="AK237" s="328"/>
      <c r="AL237" s="404">
        <f>42400000+46600000-9000000+7716666.67</f>
        <v>87716666.670000002</v>
      </c>
      <c r="AM237" s="404">
        <v>87716666.670000002</v>
      </c>
      <c r="AN237" s="404">
        <v>76500000</v>
      </c>
      <c r="AO237" s="328"/>
      <c r="AP237" s="328"/>
      <c r="AQ237" s="328"/>
      <c r="AR237" s="328"/>
      <c r="AS237" s="328"/>
      <c r="AT237" s="328"/>
      <c r="AU237" s="328">
        <f t="shared" si="16"/>
        <v>87716666.670000002</v>
      </c>
      <c r="AV237" s="328">
        <f t="shared" si="14"/>
        <v>87716666.670000002</v>
      </c>
      <c r="AW237" s="328">
        <f t="shared" si="15"/>
        <v>76500000</v>
      </c>
      <c r="AX237" s="330" t="s">
        <v>618</v>
      </c>
      <c r="AY237" s="331"/>
      <c r="AZ237" s="331"/>
      <c r="BA237" s="331"/>
      <c r="BB237" s="331"/>
      <c r="BC237" s="331"/>
      <c r="BD237" s="331"/>
      <c r="BE237" s="331"/>
      <c r="BF237" s="331"/>
      <c r="BG237" s="331"/>
      <c r="BH237" s="331"/>
      <c r="BI237" s="331"/>
      <c r="BJ237" s="331"/>
      <c r="BK237" s="331"/>
      <c r="BL237" s="331"/>
      <c r="BM237" s="331"/>
      <c r="BN237" s="331"/>
      <c r="BO237" s="331"/>
      <c r="BP237" s="331"/>
      <c r="BQ237" s="331"/>
      <c r="BR237" s="331"/>
      <c r="BS237" s="331"/>
      <c r="BT237" s="331"/>
      <c r="BU237" s="331"/>
      <c r="BV237" s="331"/>
      <c r="BW237" s="331"/>
      <c r="BX237" s="331"/>
      <c r="BY237" s="331"/>
      <c r="BZ237" s="331"/>
      <c r="CA237" s="331"/>
      <c r="CB237" s="331"/>
      <c r="CC237" s="331"/>
      <c r="CD237" s="331"/>
      <c r="CE237" s="331"/>
      <c r="CF237" s="331"/>
      <c r="CG237" s="331"/>
      <c r="CH237" s="331"/>
      <c r="CI237" s="331"/>
      <c r="CJ237" s="331"/>
      <c r="CK237" s="331"/>
      <c r="CL237" s="331"/>
      <c r="CM237" s="331"/>
      <c r="CN237" s="331"/>
      <c r="CO237" s="331"/>
      <c r="CP237" s="331"/>
      <c r="CQ237" s="331"/>
      <c r="CR237" s="331"/>
      <c r="CS237" s="331"/>
      <c r="CT237" s="331"/>
      <c r="CU237" s="331"/>
      <c r="CV237" s="331"/>
      <c r="CW237" s="331"/>
      <c r="CX237" s="331"/>
      <c r="CY237" s="331"/>
      <c r="CZ237" s="331"/>
      <c r="DA237" s="331"/>
      <c r="DB237" s="331"/>
      <c r="DC237" s="331"/>
      <c r="DD237" s="331"/>
      <c r="DE237" s="331"/>
      <c r="DF237" s="331"/>
      <c r="DG237" s="331"/>
      <c r="DH237" s="331"/>
      <c r="DI237" s="331"/>
      <c r="DJ237" s="331"/>
      <c r="DK237" s="331"/>
      <c r="DL237" s="331"/>
      <c r="DM237" s="331"/>
      <c r="DN237" s="331"/>
      <c r="DO237" s="331"/>
      <c r="DP237" s="331"/>
      <c r="DQ237" s="331"/>
      <c r="DR237" s="331"/>
      <c r="DS237" s="331"/>
      <c r="DT237" s="331"/>
      <c r="DU237" s="331"/>
      <c r="DV237" s="331"/>
      <c r="DW237" s="331"/>
      <c r="DX237" s="331"/>
      <c r="DY237" s="331"/>
    </row>
    <row r="238" spans="1:129" s="332" customFormat="1" ht="89.25" x14ac:dyDescent="0.25">
      <c r="A238" s="259">
        <v>314</v>
      </c>
      <c r="B238" s="325" t="s">
        <v>614</v>
      </c>
      <c r="C238" s="259"/>
      <c r="D238" s="325"/>
      <c r="E238" s="259">
        <v>1</v>
      </c>
      <c r="F238" s="325" t="s">
        <v>112</v>
      </c>
      <c r="G238" s="305">
        <v>22</v>
      </c>
      <c r="H238" s="440" t="s">
        <v>113</v>
      </c>
      <c r="I238" s="305">
        <v>2201</v>
      </c>
      <c r="J238" s="333" t="s">
        <v>114</v>
      </c>
      <c r="K238" s="272">
        <v>2201047</v>
      </c>
      <c r="L238" s="333" t="s">
        <v>648</v>
      </c>
      <c r="M238" s="267">
        <v>220104700</v>
      </c>
      <c r="N238" s="474" t="s">
        <v>649</v>
      </c>
      <c r="O238" s="272" t="s">
        <v>26</v>
      </c>
      <c r="P238" s="303">
        <v>54</v>
      </c>
      <c r="Q238" s="303">
        <v>32</v>
      </c>
      <c r="R238" s="281">
        <v>2024003630022</v>
      </c>
      <c r="S238" s="325" t="s">
        <v>644</v>
      </c>
      <c r="T238" s="328"/>
      <c r="U238" s="328"/>
      <c r="V238" s="328"/>
      <c r="W238" s="328"/>
      <c r="X238" s="328"/>
      <c r="Y238" s="328"/>
      <c r="Z238" s="328"/>
      <c r="AA238" s="328"/>
      <c r="AB238" s="328"/>
      <c r="AC238" s="328"/>
      <c r="AD238" s="328"/>
      <c r="AE238" s="328"/>
      <c r="AF238" s="404"/>
      <c r="AG238" s="404"/>
      <c r="AH238" s="404"/>
      <c r="AI238" s="328"/>
      <c r="AJ238" s="328"/>
      <c r="AK238" s="328"/>
      <c r="AL238" s="404">
        <f>78500000-9000000</f>
        <v>69500000</v>
      </c>
      <c r="AM238" s="404">
        <v>68266666.659999996</v>
      </c>
      <c r="AN238" s="404">
        <v>18500000</v>
      </c>
      <c r="AO238" s="328"/>
      <c r="AP238" s="328"/>
      <c r="AQ238" s="328"/>
      <c r="AR238" s="328"/>
      <c r="AS238" s="328"/>
      <c r="AT238" s="328"/>
      <c r="AU238" s="328">
        <f t="shared" si="16"/>
        <v>69500000</v>
      </c>
      <c r="AV238" s="328">
        <f t="shared" si="14"/>
        <v>68266666.659999996</v>
      </c>
      <c r="AW238" s="328">
        <f t="shared" si="15"/>
        <v>18500000</v>
      </c>
      <c r="AX238" s="330" t="s">
        <v>618</v>
      </c>
      <c r="AY238" s="331"/>
      <c r="AZ238" s="331"/>
      <c r="BA238" s="331"/>
      <c r="BB238" s="331"/>
      <c r="BC238" s="331"/>
      <c r="BD238" s="331"/>
      <c r="BE238" s="331"/>
      <c r="BF238" s="331"/>
      <c r="BG238" s="331"/>
      <c r="BH238" s="331"/>
      <c r="BI238" s="331"/>
      <c r="BJ238" s="331"/>
      <c r="BK238" s="331"/>
      <c r="BL238" s="331"/>
      <c r="BM238" s="331"/>
      <c r="BN238" s="331"/>
      <c r="BO238" s="331"/>
      <c r="BP238" s="331"/>
      <c r="BQ238" s="331"/>
      <c r="BR238" s="331"/>
      <c r="BS238" s="331"/>
      <c r="BT238" s="331"/>
      <c r="BU238" s="331"/>
      <c r="BV238" s="331"/>
      <c r="BW238" s="331"/>
      <c r="BX238" s="331"/>
      <c r="BY238" s="331"/>
      <c r="BZ238" s="331"/>
      <c r="CA238" s="331"/>
      <c r="CB238" s="331"/>
      <c r="CC238" s="331"/>
      <c r="CD238" s="331"/>
      <c r="CE238" s="331"/>
      <c r="CF238" s="331"/>
      <c r="CG238" s="331"/>
      <c r="CH238" s="331"/>
      <c r="CI238" s="331"/>
      <c r="CJ238" s="331"/>
      <c r="CK238" s="331"/>
      <c r="CL238" s="331"/>
      <c r="CM238" s="331"/>
      <c r="CN238" s="331"/>
      <c r="CO238" s="331"/>
      <c r="CP238" s="331"/>
      <c r="CQ238" s="331"/>
      <c r="CR238" s="331"/>
      <c r="CS238" s="331"/>
      <c r="CT238" s="331"/>
      <c r="CU238" s="331"/>
      <c r="CV238" s="331"/>
      <c r="CW238" s="331"/>
      <c r="CX238" s="331"/>
      <c r="CY238" s="331"/>
      <c r="CZ238" s="331"/>
      <c r="DA238" s="331"/>
      <c r="DB238" s="331"/>
      <c r="DC238" s="331"/>
      <c r="DD238" s="331"/>
      <c r="DE238" s="331"/>
      <c r="DF238" s="331"/>
      <c r="DG238" s="331"/>
      <c r="DH238" s="331"/>
      <c r="DI238" s="331"/>
      <c r="DJ238" s="331"/>
      <c r="DK238" s="331"/>
      <c r="DL238" s="331"/>
      <c r="DM238" s="331"/>
      <c r="DN238" s="331"/>
      <c r="DO238" s="331"/>
      <c r="DP238" s="331"/>
      <c r="DQ238" s="331"/>
      <c r="DR238" s="331"/>
      <c r="DS238" s="331"/>
      <c r="DT238" s="331"/>
      <c r="DU238" s="331"/>
      <c r="DV238" s="331"/>
      <c r="DW238" s="331"/>
      <c r="DX238" s="331"/>
      <c r="DY238" s="331"/>
    </row>
    <row r="239" spans="1:129" s="332" customFormat="1" ht="76.5" x14ac:dyDescent="0.25">
      <c r="A239" s="259">
        <v>314</v>
      </c>
      <c r="B239" s="325" t="s">
        <v>614</v>
      </c>
      <c r="C239" s="259"/>
      <c r="D239" s="325"/>
      <c r="E239" s="259">
        <v>1</v>
      </c>
      <c r="F239" s="325" t="s">
        <v>112</v>
      </c>
      <c r="G239" s="305">
        <v>22</v>
      </c>
      <c r="H239" s="440" t="s">
        <v>113</v>
      </c>
      <c r="I239" s="305">
        <v>2201</v>
      </c>
      <c r="J239" s="333" t="s">
        <v>114</v>
      </c>
      <c r="K239" s="272">
        <v>2201050</v>
      </c>
      <c r="L239" s="333" t="s">
        <v>650</v>
      </c>
      <c r="M239" s="272">
        <v>220105000</v>
      </c>
      <c r="N239" s="474" t="s">
        <v>651</v>
      </c>
      <c r="O239" s="272" t="s">
        <v>26</v>
      </c>
      <c r="P239" s="303">
        <v>35000</v>
      </c>
      <c r="Q239" s="303">
        <v>0</v>
      </c>
      <c r="R239" s="281">
        <v>2024003630022</v>
      </c>
      <c r="S239" s="325" t="s">
        <v>644</v>
      </c>
      <c r="T239" s="328"/>
      <c r="U239" s="328"/>
      <c r="V239" s="328"/>
      <c r="W239" s="328"/>
      <c r="X239" s="328"/>
      <c r="Y239" s="328"/>
      <c r="Z239" s="328"/>
      <c r="AA239" s="328"/>
      <c r="AB239" s="328"/>
      <c r="AC239" s="328"/>
      <c r="AD239" s="328"/>
      <c r="AE239" s="328"/>
      <c r="AF239" s="404">
        <v>5346560</v>
      </c>
      <c r="AG239" s="404"/>
      <c r="AH239" s="404"/>
      <c r="AI239" s="328"/>
      <c r="AJ239" s="328"/>
      <c r="AK239" s="328"/>
      <c r="AL239" s="404">
        <v>39000000</v>
      </c>
      <c r="AM239" s="404">
        <v>38316666.659999996</v>
      </c>
      <c r="AN239" s="404">
        <v>12500000</v>
      </c>
      <c r="AO239" s="328"/>
      <c r="AP239" s="328"/>
      <c r="AQ239" s="328"/>
      <c r="AR239" s="328"/>
      <c r="AS239" s="328"/>
      <c r="AT239" s="328"/>
      <c r="AU239" s="328">
        <f t="shared" si="16"/>
        <v>44346560</v>
      </c>
      <c r="AV239" s="328">
        <f t="shared" si="14"/>
        <v>38316666.659999996</v>
      </c>
      <c r="AW239" s="328">
        <f t="shared" si="15"/>
        <v>12500000</v>
      </c>
      <c r="AX239" s="330" t="s">
        <v>618</v>
      </c>
      <c r="AY239" s="331"/>
      <c r="AZ239" s="331"/>
      <c r="BA239" s="331"/>
      <c r="BB239" s="331"/>
      <c r="BC239" s="331"/>
      <c r="BD239" s="331"/>
      <c r="BE239" s="331"/>
      <c r="BF239" s="331"/>
      <c r="BG239" s="331"/>
      <c r="BH239" s="331"/>
      <c r="BI239" s="331"/>
      <c r="BJ239" s="331"/>
      <c r="BK239" s="331"/>
      <c r="BL239" s="331"/>
      <c r="BM239" s="331"/>
      <c r="BN239" s="331"/>
      <c r="BO239" s="331"/>
      <c r="BP239" s="331"/>
      <c r="BQ239" s="331"/>
      <c r="BR239" s="331"/>
      <c r="BS239" s="331"/>
      <c r="BT239" s="331"/>
      <c r="BU239" s="331"/>
      <c r="BV239" s="331"/>
      <c r="BW239" s="331"/>
      <c r="BX239" s="331"/>
      <c r="BY239" s="331"/>
      <c r="BZ239" s="331"/>
      <c r="CA239" s="331"/>
      <c r="CB239" s="331"/>
      <c r="CC239" s="331"/>
      <c r="CD239" s="331"/>
      <c r="CE239" s="331"/>
      <c r="CF239" s="331"/>
      <c r="CG239" s="331"/>
      <c r="CH239" s="331"/>
      <c r="CI239" s="331"/>
      <c r="CJ239" s="331"/>
      <c r="CK239" s="331"/>
      <c r="CL239" s="331"/>
      <c r="CM239" s="331"/>
      <c r="CN239" s="331"/>
      <c r="CO239" s="331"/>
      <c r="CP239" s="331"/>
      <c r="CQ239" s="331"/>
      <c r="CR239" s="331"/>
      <c r="CS239" s="331"/>
      <c r="CT239" s="331"/>
      <c r="CU239" s="331"/>
      <c r="CV239" s="331"/>
      <c r="CW239" s="331"/>
      <c r="CX239" s="331"/>
      <c r="CY239" s="331"/>
      <c r="CZ239" s="331"/>
      <c r="DA239" s="331"/>
      <c r="DB239" s="331"/>
      <c r="DC239" s="331"/>
      <c r="DD239" s="331"/>
      <c r="DE239" s="331"/>
      <c r="DF239" s="331"/>
      <c r="DG239" s="331"/>
      <c r="DH239" s="331"/>
      <c r="DI239" s="331"/>
      <c r="DJ239" s="331"/>
      <c r="DK239" s="331"/>
      <c r="DL239" s="331"/>
      <c r="DM239" s="331"/>
      <c r="DN239" s="331"/>
      <c r="DO239" s="331"/>
      <c r="DP239" s="331"/>
      <c r="DQ239" s="331"/>
      <c r="DR239" s="331"/>
      <c r="DS239" s="331"/>
      <c r="DT239" s="331"/>
      <c r="DU239" s="331"/>
      <c r="DV239" s="331"/>
      <c r="DW239" s="331"/>
      <c r="DX239" s="331"/>
      <c r="DY239" s="331"/>
    </row>
    <row r="240" spans="1:129" s="332" customFormat="1" ht="102" x14ac:dyDescent="0.25">
      <c r="A240" s="259">
        <v>314</v>
      </c>
      <c r="B240" s="325" t="s">
        <v>614</v>
      </c>
      <c r="C240" s="259"/>
      <c r="D240" s="325"/>
      <c r="E240" s="259">
        <v>1</v>
      </c>
      <c r="F240" s="325" t="s">
        <v>112</v>
      </c>
      <c r="G240" s="305">
        <v>22</v>
      </c>
      <c r="H240" s="440" t="s">
        <v>113</v>
      </c>
      <c r="I240" s="305">
        <v>2201</v>
      </c>
      <c r="J240" s="333" t="s">
        <v>114</v>
      </c>
      <c r="K240" s="272">
        <v>2201054</v>
      </c>
      <c r="L240" s="333" t="s">
        <v>652</v>
      </c>
      <c r="M240" s="267">
        <v>220105400</v>
      </c>
      <c r="N240" s="474" t="s">
        <v>653</v>
      </c>
      <c r="O240" s="272" t="s">
        <v>26</v>
      </c>
      <c r="P240" s="303">
        <v>11</v>
      </c>
      <c r="Q240" s="303">
        <v>0</v>
      </c>
      <c r="R240" s="281">
        <v>2024003630022</v>
      </c>
      <c r="S240" s="325" t="s">
        <v>644</v>
      </c>
      <c r="T240" s="328"/>
      <c r="U240" s="328"/>
      <c r="V240" s="328"/>
      <c r="W240" s="328"/>
      <c r="X240" s="328"/>
      <c r="Y240" s="328"/>
      <c r="Z240" s="328"/>
      <c r="AA240" s="328"/>
      <c r="AB240" s="328"/>
      <c r="AC240" s="328"/>
      <c r="AD240" s="328"/>
      <c r="AE240" s="328"/>
      <c r="AF240" s="404"/>
      <c r="AG240" s="404"/>
      <c r="AH240" s="404"/>
      <c r="AI240" s="328"/>
      <c r="AJ240" s="328"/>
      <c r="AK240" s="328"/>
      <c r="AL240" s="404">
        <f>39000000-7500000</f>
        <v>31500000</v>
      </c>
      <c r="AM240" s="404">
        <v>31500000</v>
      </c>
      <c r="AN240" s="404">
        <v>21000000</v>
      </c>
      <c r="AO240" s="328"/>
      <c r="AP240" s="328"/>
      <c r="AQ240" s="328"/>
      <c r="AR240" s="328"/>
      <c r="AS240" s="328"/>
      <c r="AT240" s="328"/>
      <c r="AU240" s="328">
        <f t="shared" si="16"/>
        <v>31500000</v>
      </c>
      <c r="AV240" s="328">
        <f t="shared" si="14"/>
        <v>31500000</v>
      </c>
      <c r="AW240" s="328">
        <f t="shared" si="15"/>
        <v>21000000</v>
      </c>
      <c r="AX240" s="330" t="s">
        <v>618</v>
      </c>
      <c r="AY240" s="331"/>
      <c r="AZ240" s="331"/>
      <c r="BA240" s="331"/>
      <c r="BB240" s="331"/>
      <c r="BC240" s="331"/>
      <c r="BD240" s="331"/>
      <c r="BE240" s="331"/>
      <c r="BF240" s="331"/>
      <c r="BG240" s="331"/>
      <c r="BH240" s="331"/>
      <c r="BI240" s="331"/>
      <c r="BJ240" s="331"/>
      <c r="BK240" s="331"/>
      <c r="BL240" s="331"/>
      <c r="BM240" s="331"/>
      <c r="BN240" s="331"/>
      <c r="BO240" s="331"/>
      <c r="BP240" s="331"/>
      <c r="BQ240" s="331"/>
      <c r="BR240" s="331"/>
      <c r="BS240" s="331"/>
      <c r="BT240" s="331"/>
      <c r="BU240" s="331"/>
      <c r="BV240" s="331"/>
      <c r="BW240" s="331"/>
      <c r="BX240" s="331"/>
      <c r="BY240" s="331"/>
      <c r="BZ240" s="331"/>
      <c r="CA240" s="331"/>
      <c r="CB240" s="331"/>
      <c r="CC240" s="331"/>
      <c r="CD240" s="331"/>
      <c r="CE240" s="331"/>
      <c r="CF240" s="331"/>
      <c r="CG240" s="331"/>
      <c r="CH240" s="331"/>
      <c r="CI240" s="331"/>
      <c r="CJ240" s="331"/>
      <c r="CK240" s="331"/>
      <c r="CL240" s="331"/>
      <c r="CM240" s="331"/>
      <c r="CN240" s="331"/>
      <c r="CO240" s="331"/>
      <c r="CP240" s="331"/>
      <c r="CQ240" s="331"/>
      <c r="CR240" s="331"/>
      <c r="CS240" s="331"/>
      <c r="CT240" s="331"/>
      <c r="CU240" s="331"/>
      <c r="CV240" s="331"/>
      <c r="CW240" s="331"/>
      <c r="CX240" s="331"/>
      <c r="CY240" s="331"/>
      <c r="CZ240" s="331"/>
      <c r="DA240" s="331"/>
      <c r="DB240" s="331"/>
      <c r="DC240" s="331"/>
      <c r="DD240" s="331"/>
      <c r="DE240" s="331"/>
      <c r="DF240" s="331"/>
      <c r="DG240" s="331"/>
      <c r="DH240" s="331"/>
      <c r="DI240" s="331"/>
      <c r="DJ240" s="331"/>
      <c r="DK240" s="331"/>
      <c r="DL240" s="331"/>
      <c r="DM240" s="331"/>
      <c r="DN240" s="331"/>
      <c r="DO240" s="331"/>
      <c r="DP240" s="331"/>
      <c r="DQ240" s="331"/>
      <c r="DR240" s="331"/>
      <c r="DS240" s="331"/>
      <c r="DT240" s="331"/>
      <c r="DU240" s="331"/>
      <c r="DV240" s="331"/>
      <c r="DW240" s="331"/>
      <c r="DX240" s="331"/>
      <c r="DY240" s="331"/>
    </row>
    <row r="241" spans="1:129" s="332" customFormat="1" ht="63.75" x14ac:dyDescent="0.25">
      <c r="A241" s="259">
        <v>314</v>
      </c>
      <c r="B241" s="325" t="s">
        <v>614</v>
      </c>
      <c r="C241" s="259"/>
      <c r="D241" s="325"/>
      <c r="E241" s="259">
        <v>1</v>
      </c>
      <c r="F241" s="325" t="s">
        <v>112</v>
      </c>
      <c r="G241" s="305">
        <v>22</v>
      </c>
      <c r="H241" s="440" t="s">
        <v>113</v>
      </c>
      <c r="I241" s="305">
        <v>2201</v>
      </c>
      <c r="J241" s="333" t="s">
        <v>114</v>
      </c>
      <c r="K241" s="272">
        <v>2201006</v>
      </c>
      <c r="L241" s="474" t="s">
        <v>638</v>
      </c>
      <c r="M241" s="267">
        <v>220100600</v>
      </c>
      <c r="N241" s="474" t="s">
        <v>639</v>
      </c>
      <c r="O241" s="272" t="s">
        <v>26</v>
      </c>
      <c r="P241" s="303">
        <v>54</v>
      </c>
      <c r="Q241" s="303">
        <v>44</v>
      </c>
      <c r="R241" s="281">
        <v>2024003630022</v>
      </c>
      <c r="S241" s="325" t="s">
        <v>644</v>
      </c>
      <c r="T241" s="328"/>
      <c r="U241" s="328"/>
      <c r="V241" s="328"/>
      <c r="W241" s="328"/>
      <c r="X241" s="328"/>
      <c r="Y241" s="328"/>
      <c r="Z241" s="328"/>
      <c r="AA241" s="328"/>
      <c r="AB241" s="328"/>
      <c r="AC241" s="328"/>
      <c r="AD241" s="328"/>
      <c r="AE241" s="328"/>
      <c r="AF241" s="404"/>
      <c r="AG241" s="404"/>
      <c r="AH241" s="404"/>
      <c r="AI241" s="328"/>
      <c r="AJ241" s="328"/>
      <c r="AK241" s="328"/>
      <c r="AL241" s="404">
        <f>476500000.08+541283-136500000+7466667</f>
        <v>348007950.07999998</v>
      </c>
      <c r="AM241" s="404">
        <v>321993333.33000004</v>
      </c>
      <c r="AN241" s="404">
        <v>194464000</v>
      </c>
      <c r="AO241" s="328"/>
      <c r="AP241" s="328"/>
      <c r="AQ241" s="328"/>
      <c r="AR241" s="328"/>
      <c r="AS241" s="328"/>
      <c r="AT241" s="328"/>
      <c r="AU241" s="328">
        <f t="shared" si="16"/>
        <v>348007950.07999998</v>
      </c>
      <c r="AV241" s="328">
        <f t="shared" si="14"/>
        <v>321993333.33000004</v>
      </c>
      <c r="AW241" s="328">
        <f t="shared" si="15"/>
        <v>194464000</v>
      </c>
      <c r="AX241" s="330" t="s">
        <v>618</v>
      </c>
      <c r="AY241" s="331"/>
      <c r="AZ241" s="331"/>
      <c r="BA241" s="331"/>
      <c r="BB241" s="331"/>
      <c r="BC241" s="331"/>
      <c r="BD241" s="331"/>
      <c r="BE241" s="331"/>
      <c r="BF241" s="331"/>
      <c r="BG241" s="331"/>
      <c r="BH241" s="331"/>
      <c r="BI241" s="331"/>
      <c r="BJ241" s="331"/>
      <c r="BK241" s="331"/>
      <c r="BL241" s="331"/>
      <c r="BM241" s="331"/>
      <c r="BN241" s="331"/>
      <c r="BO241" s="331"/>
      <c r="BP241" s="331"/>
      <c r="BQ241" s="331"/>
      <c r="BR241" s="331"/>
      <c r="BS241" s="331"/>
      <c r="BT241" s="331"/>
      <c r="BU241" s="331"/>
      <c r="BV241" s="331"/>
      <c r="BW241" s="331"/>
      <c r="BX241" s="331"/>
      <c r="BY241" s="331"/>
      <c r="BZ241" s="331"/>
      <c r="CA241" s="331"/>
      <c r="CB241" s="331"/>
      <c r="CC241" s="331"/>
      <c r="CD241" s="331"/>
      <c r="CE241" s="331"/>
      <c r="CF241" s="331"/>
      <c r="CG241" s="331"/>
      <c r="CH241" s="331"/>
      <c r="CI241" s="331"/>
      <c r="CJ241" s="331"/>
      <c r="CK241" s="331"/>
      <c r="CL241" s="331"/>
      <c r="CM241" s="331"/>
      <c r="CN241" s="331"/>
      <c r="CO241" s="331"/>
      <c r="CP241" s="331"/>
      <c r="CQ241" s="331"/>
      <c r="CR241" s="331"/>
      <c r="CS241" s="331"/>
      <c r="CT241" s="331"/>
      <c r="CU241" s="331"/>
      <c r="CV241" s="331"/>
      <c r="CW241" s="331"/>
      <c r="CX241" s="331"/>
      <c r="CY241" s="331"/>
      <c r="CZ241" s="331"/>
      <c r="DA241" s="331"/>
      <c r="DB241" s="331"/>
      <c r="DC241" s="331"/>
      <c r="DD241" s="331"/>
      <c r="DE241" s="331"/>
      <c r="DF241" s="331"/>
      <c r="DG241" s="331"/>
      <c r="DH241" s="331"/>
      <c r="DI241" s="331"/>
      <c r="DJ241" s="331"/>
      <c r="DK241" s="331"/>
      <c r="DL241" s="331"/>
      <c r="DM241" s="331"/>
      <c r="DN241" s="331"/>
      <c r="DO241" s="331"/>
      <c r="DP241" s="331"/>
      <c r="DQ241" s="331"/>
      <c r="DR241" s="331"/>
      <c r="DS241" s="331"/>
      <c r="DT241" s="331"/>
      <c r="DU241" s="331"/>
      <c r="DV241" s="331"/>
      <c r="DW241" s="331"/>
      <c r="DX241" s="331"/>
      <c r="DY241" s="331"/>
    </row>
    <row r="242" spans="1:129" s="332" customFormat="1" ht="51" x14ac:dyDescent="0.25">
      <c r="A242" s="259">
        <v>314</v>
      </c>
      <c r="B242" s="325" t="s">
        <v>614</v>
      </c>
      <c r="C242" s="259"/>
      <c r="D242" s="325"/>
      <c r="E242" s="259">
        <v>1</v>
      </c>
      <c r="F242" s="325" t="s">
        <v>112</v>
      </c>
      <c r="G242" s="305">
        <v>22</v>
      </c>
      <c r="H242" s="440" t="s">
        <v>113</v>
      </c>
      <c r="I242" s="305">
        <v>2201</v>
      </c>
      <c r="J242" s="333" t="s">
        <v>114</v>
      </c>
      <c r="K242" s="272">
        <v>2201067</v>
      </c>
      <c r="L242" s="333" t="s">
        <v>619</v>
      </c>
      <c r="M242" s="267">
        <v>220106700</v>
      </c>
      <c r="N242" s="474" t="s">
        <v>620</v>
      </c>
      <c r="O242" s="272" t="s">
        <v>26</v>
      </c>
      <c r="P242" s="303">
        <v>54</v>
      </c>
      <c r="Q242" s="303">
        <v>0</v>
      </c>
      <c r="R242" s="281">
        <v>2024003630022</v>
      </c>
      <c r="S242" s="325" t="s">
        <v>644</v>
      </c>
      <c r="T242" s="328"/>
      <c r="U242" s="328"/>
      <c r="V242" s="328"/>
      <c r="W242" s="328"/>
      <c r="X242" s="328"/>
      <c r="Y242" s="328"/>
      <c r="Z242" s="328"/>
      <c r="AA242" s="328"/>
      <c r="AB242" s="328"/>
      <c r="AC242" s="328"/>
      <c r="AD242" s="328"/>
      <c r="AE242" s="328"/>
      <c r="AF242" s="404"/>
      <c r="AG242" s="404"/>
      <c r="AH242" s="404"/>
      <c r="AI242" s="328"/>
      <c r="AJ242" s="328"/>
      <c r="AK242" s="328"/>
      <c r="AL242" s="404">
        <f>39000000-7500000+2333333.33</f>
        <v>33833333.329999998</v>
      </c>
      <c r="AM242" s="404">
        <v>33833333.329999998</v>
      </c>
      <c r="AN242" s="404">
        <v>21000000</v>
      </c>
      <c r="AO242" s="328"/>
      <c r="AP242" s="328"/>
      <c r="AQ242" s="328"/>
      <c r="AR242" s="328"/>
      <c r="AS242" s="328"/>
      <c r="AT242" s="328"/>
      <c r="AU242" s="328">
        <f t="shared" si="16"/>
        <v>33833333.329999998</v>
      </c>
      <c r="AV242" s="328">
        <f t="shared" si="14"/>
        <v>33833333.329999998</v>
      </c>
      <c r="AW242" s="328">
        <f t="shared" si="15"/>
        <v>21000000</v>
      </c>
      <c r="AX242" s="330" t="s">
        <v>618</v>
      </c>
      <c r="AY242" s="331"/>
      <c r="AZ242" s="331"/>
      <c r="BA242" s="331"/>
      <c r="BB242" s="331"/>
      <c r="BC242" s="331"/>
      <c r="BD242" s="331"/>
      <c r="BE242" s="331"/>
      <c r="BF242" s="331"/>
      <c r="BG242" s="331"/>
      <c r="BH242" s="331"/>
      <c r="BI242" s="331"/>
      <c r="BJ242" s="331"/>
      <c r="BK242" s="331"/>
      <c r="BL242" s="331"/>
      <c r="BM242" s="331"/>
      <c r="BN242" s="331"/>
      <c r="BO242" s="331"/>
      <c r="BP242" s="331"/>
      <c r="BQ242" s="331"/>
      <c r="BR242" s="331"/>
      <c r="BS242" s="331"/>
      <c r="BT242" s="331"/>
      <c r="BU242" s="331"/>
      <c r="BV242" s="331"/>
      <c r="BW242" s="331"/>
      <c r="BX242" s="331"/>
      <c r="BY242" s="331"/>
      <c r="BZ242" s="331"/>
      <c r="CA242" s="331"/>
      <c r="CB242" s="331"/>
      <c r="CC242" s="331"/>
      <c r="CD242" s="331"/>
      <c r="CE242" s="331"/>
      <c r="CF242" s="331"/>
      <c r="CG242" s="331"/>
      <c r="CH242" s="331"/>
      <c r="CI242" s="331"/>
      <c r="CJ242" s="331"/>
      <c r="CK242" s="331"/>
      <c r="CL242" s="331"/>
      <c r="CM242" s="331"/>
      <c r="CN242" s="331"/>
      <c r="CO242" s="331"/>
      <c r="CP242" s="331"/>
      <c r="CQ242" s="331"/>
      <c r="CR242" s="331"/>
      <c r="CS242" s="331"/>
      <c r="CT242" s="331"/>
      <c r="CU242" s="331"/>
      <c r="CV242" s="331"/>
      <c r="CW242" s="331"/>
      <c r="CX242" s="331"/>
      <c r="CY242" s="331"/>
      <c r="CZ242" s="331"/>
      <c r="DA242" s="331"/>
      <c r="DB242" s="331"/>
      <c r="DC242" s="331"/>
      <c r="DD242" s="331"/>
      <c r="DE242" s="331"/>
      <c r="DF242" s="331"/>
      <c r="DG242" s="331"/>
      <c r="DH242" s="331"/>
      <c r="DI242" s="331"/>
      <c r="DJ242" s="331"/>
      <c r="DK242" s="331"/>
      <c r="DL242" s="331"/>
      <c r="DM242" s="331"/>
      <c r="DN242" s="331"/>
      <c r="DO242" s="331"/>
      <c r="DP242" s="331"/>
      <c r="DQ242" s="331"/>
      <c r="DR242" s="331"/>
      <c r="DS242" s="331"/>
      <c r="DT242" s="331"/>
      <c r="DU242" s="331"/>
      <c r="DV242" s="331"/>
      <c r="DW242" s="331"/>
      <c r="DX242" s="331"/>
      <c r="DY242" s="331"/>
    </row>
    <row r="243" spans="1:129" s="332" customFormat="1" ht="127.5" x14ac:dyDescent="0.25">
      <c r="A243" s="259">
        <v>314</v>
      </c>
      <c r="B243" s="325" t="s">
        <v>614</v>
      </c>
      <c r="C243" s="259"/>
      <c r="D243" s="325"/>
      <c r="E243" s="259">
        <v>1</v>
      </c>
      <c r="F243" s="325" t="s">
        <v>112</v>
      </c>
      <c r="G243" s="305">
        <v>22</v>
      </c>
      <c r="H243" s="440" t="s">
        <v>113</v>
      </c>
      <c r="I243" s="305">
        <v>2201</v>
      </c>
      <c r="J243" s="333" t="s">
        <v>114</v>
      </c>
      <c r="K243" s="272">
        <v>2201074</v>
      </c>
      <c r="L243" s="333" t="s">
        <v>654</v>
      </c>
      <c r="M243" s="267">
        <v>220107400</v>
      </c>
      <c r="N243" s="474" t="s">
        <v>655</v>
      </c>
      <c r="O243" s="272" t="s">
        <v>67</v>
      </c>
      <c r="P243" s="303">
        <v>200</v>
      </c>
      <c r="Q243" s="303">
        <v>0</v>
      </c>
      <c r="R243" s="281">
        <v>2024003630022</v>
      </c>
      <c r="S243" s="325" t="s">
        <v>644</v>
      </c>
      <c r="T243" s="328"/>
      <c r="U243" s="328"/>
      <c r="V243" s="328"/>
      <c r="W243" s="328"/>
      <c r="X243" s="328"/>
      <c r="Y243" s="328"/>
      <c r="Z243" s="328"/>
      <c r="AA243" s="328"/>
      <c r="AB243" s="328"/>
      <c r="AC243" s="328"/>
      <c r="AD243" s="328"/>
      <c r="AE243" s="328"/>
      <c r="AF243" s="404"/>
      <c r="AG243" s="404"/>
      <c r="AH243" s="404"/>
      <c r="AI243" s="328"/>
      <c r="AJ243" s="328"/>
      <c r="AK243" s="328"/>
      <c r="AL243" s="404">
        <f>60000000-35000000</f>
        <v>25000000</v>
      </c>
      <c r="AM243" s="404">
        <v>0</v>
      </c>
      <c r="AN243" s="404">
        <v>0</v>
      </c>
      <c r="AO243" s="328"/>
      <c r="AP243" s="328"/>
      <c r="AQ243" s="328"/>
      <c r="AR243" s="328"/>
      <c r="AS243" s="328"/>
      <c r="AT243" s="328"/>
      <c r="AU243" s="328">
        <f t="shared" si="16"/>
        <v>25000000</v>
      </c>
      <c r="AV243" s="328">
        <f t="shared" si="14"/>
        <v>0</v>
      </c>
      <c r="AW243" s="328">
        <f t="shared" si="15"/>
        <v>0</v>
      </c>
      <c r="AX243" s="330" t="s">
        <v>618</v>
      </c>
      <c r="AY243" s="331"/>
      <c r="AZ243" s="331"/>
      <c r="BA243" s="331"/>
      <c r="BB243" s="331"/>
      <c r="BC243" s="331"/>
      <c r="BD243" s="331"/>
      <c r="BE243" s="331"/>
      <c r="BF243" s="331"/>
      <c r="BG243" s="331"/>
      <c r="BH243" s="331"/>
      <c r="BI243" s="331"/>
      <c r="BJ243" s="331"/>
      <c r="BK243" s="331"/>
      <c r="BL243" s="331"/>
      <c r="BM243" s="331"/>
      <c r="BN243" s="331"/>
      <c r="BO243" s="331"/>
      <c r="BP243" s="331"/>
      <c r="BQ243" s="331"/>
      <c r="BR243" s="331"/>
      <c r="BS243" s="331"/>
      <c r="BT243" s="331"/>
      <c r="BU243" s="331"/>
      <c r="BV243" s="331"/>
      <c r="BW243" s="331"/>
      <c r="BX243" s="331"/>
      <c r="BY243" s="331"/>
      <c r="BZ243" s="331"/>
      <c r="CA243" s="331"/>
      <c r="CB243" s="331"/>
      <c r="CC243" s="331"/>
      <c r="CD243" s="331"/>
      <c r="CE243" s="331"/>
      <c r="CF243" s="331"/>
      <c r="CG243" s="331"/>
      <c r="CH243" s="331"/>
      <c r="CI243" s="331"/>
      <c r="CJ243" s="331"/>
      <c r="CK243" s="331"/>
      <c r="CL243" s="331"/>
      <c r="CM243" s="331"/>
      <c r="CN243" s="331"/>
      <c r="CO243" s="331"/>
      <c r="CP243" s="331"/>
      <c r="CQ243" s="331"/>
      <c r="CR243" s="331"/>
      <c r="CS243" s="331"/>
      <c r="CT243" s="331"/>
      <c r="CU243" s="331"/>
      <c r="CV243" s="331"/>
      <c r="CW243" s="331"/>
      <c r="CX243" s="331"/>
      <c r="CY243" s="331"/>
      <c r="CZ243" s="331"/>
      <c r="DA243" s="331"/>
      <c r="DB243" s="331"/>
      <c r="DC243" s="331"/>
      <c r="DD243" s="331"/>
      <c r="DE243" s="331"/>
      <c r="DF243" s="331"/>
      <c r="DG243" s="331"/>
      <c r="DH243" s="331"/>
      <c r="DI243" s="331"/>
      <c r="DJ243" s="331"/>
      <c r="DK243" s="331"/>
      <c r="DL243" s="331"/>
      <c r="DM243" s="331"/>
      <c r="DN243" s="331"/>
      <c r="DO243" s="331"/>
      <c r="DP243" s="331"/>
      <c r="DQ243" s="331"/>
      <c r="DR243" s="331"/>
      <c r="DS243" s="331"/>
      <c r="DT243" s="331"/>
      <c r="DU243" s="331"/>
      <c r="DV243" s="331"/>
      <c r="DW243" s="331"/>
      <c r="DX243" s="331"/>
      <c r="DY243" s="331"/>
    </row>
    <row r="244" spans="1:129" s="332" customFormat="1" ht="102" x14ac:dyDescent="0.25">
      <c r="A244" s="259">
        <v>314</v>
      </c>
      <c r="B244" s="325" t="s">
        <v>614</v>
      </c>
      <c r="C244" s="259"/>
      <c r="D244" s="325"/>
      <c r="E244" s="259">
        <v>1</v>
      </c>
      <c r="F244" s="325" t="s">
        <v>112</v>
      </c>
      <c r="G244" s="305">
        <v>22</v>
      </c>
      <c r="H244" s="440" t="s">
        <v>113</v>
      </c>
      <c r="I244" s="305">
        <v>2201</v>
      </c>
      <c r="J244" s="333" t="s">
        <v>114</v>
      </c>
      <c r="K244" s="272">
        <v>2201081</v>
      </c>
      <c r="L244" s="333" t="s">
        <v>656</v>
      </c>
      <c r="M244" s="267">
        <v>220108100</v>
      </c>
      <c r="N244" s="474" t="s">
        <v>657</v>
      </c>
      <c r="O244" s="272" t="s">
        <v>26</v>
      </c>
      <c r="P244" s="303">
        <v>54</v>
      </c>
      <c r="Q244" s="303">
        <v>0</v>
      </c>
      <c r="R244" s="281">
        <v>2024003630022</v>
      </c>
      <c r="S244" s="325" t="s">
        <v>644</v>
      </c>
      <c r="T244" s="328"/>
      <c r="U244" s="328"/>
      <c r="V244" s="328"/>
      <c r="W244" s="328"/>
      <c r="X244" s="328"/>
      <c r="Y244" s="328"/>
      <c r="Z244" s="328"/>
      <c r="AA244" s="328"/>
      <c r="AB244" s="328"/>
      <c r="AC244" s="328"/>
      <c r="AD244" s="328"/>
      <c r="AE244" s="404"/>
      <c r="AF244" s="404"/>
      <c r="AG244" s="404"/>
      <c r="AH244" s="404"/>
      <c r="AI244" s="328"/>
      <c r="AJ244" s="328"/>
      <c r="AK244" s="328"/>
      <c r="AL244" s="404">
        <f>39000000-7500000</f>
        <v>31500000</v>
      </c>
      <c r="AM244" s="404">
        <v>31500000</v>
      </c>
      <c r="AN244" s="404">
        <v>21000000</v>
      </c>
      <c r="AO244" s="328"/>
      <c r="AP244" s="328"/>
      <c r="AQ244" s="328"/>
      <c r="AR244" s="328"/>
      <c r="AS244" s="328"/>
      <c r="AT244" s="328"/>
      <c r="AU244" s="328">
        <f t="shared" si="16"/>
        <v>31500000</v>
      </c>
      <c r="AV244" s="328">
        <f t="shared" si="14"/>
        <v>31500000</v>
      </c>
      <c r="AW244" s="328">
        <f t="shared" si="15"/>
        <v>21000000</v>
      </c>
      <c r="AX244" s="330" t="s">
        <v>618</v>
      </c>
      <c r="AY244" s="331"/>
      <c r="AZ244" s="331"/>
      <c r="BA244" s="331"/>
      <c r="BB244" s="331"/>
      <c r="BC244" s="331"/>
      <c r="BD244" s="331"/>
      <c r="BE244" s="331"/>
      <c r="BF244" s="331"/>
      <c r="BG244" s="331"/>
      <c r="BH244" s="331"/>
      <c r="BI244" s="331"/>
      <c r="BJ244" s="331"/>
      <c r="BK244" s="331"/>
      <c r="BL244" s="331"/>
      <c r="BM244" s="331"/>
      <c r="BN244" s="331"/>
      <c r="BO244" s="331"/>
      <c r="BP244" s="331"/>
      <c r="BQ244" s="331"/>
      <c r="BR244" s="331"/>
      <c r="BS244" s="331"/>
      <c r="BT244" s="331"/>
      <c r="BU244" s="331"/>
      <c r="BV244" s="331"/>
      <c r="BW244" s="331"/>
      <c r="BX244" s="331"/>
      <c r="BY244" s="331"/>
      <c r="BZ244" s="331"/>
      <c r="CA244" s="331"/>
      <c r="CB244" s="331"/>
      <c r="CC244" s="331"/>
      <c r="CD244" s="331"/>
      <c r="CE244" s="331"/>
      <c r="CF244" s="331"/>
      <c r="CG244" s="331"/>
      <c r="CH244" s="331"/>
      <c r="CI244" s="331"/>
      <c r="CJ244" s="331"/>
      <c r="CK244" s="331"/>
      <c r="CL244" s="331"/>
      <c r="CM244" s="331"/>
      <c r="CN244" s="331"/>
      <c r="CO244" s="331"/>
      <c r="CP244" s="331"/>
      <c r="CQ244" s="331"/>
      <c r="CR244" s="331"/>
      <c r="CS244" s="331"/>
      <c r="CT244" s="331"/>
      <c r="CU244" s="331"/>
      <c r="CV244" s="331"/>
      <c r="CW244" s="331"/>
      <c r="CX244" s="331"/>
      <c r="CY244" s="331"/>
      <c r="CZ244" s="331"/>
      <c r="DA244" s="331"/>
      <c r="DB244" s="331"/>
      <c r="DC244" s="331"/>
      <c r="DD244" s="331"/>
      <c r="DE244" s="331"/>
      <c r="DF244" s="331"/>
      <c r="DG244" s="331"/>
      <c r="DH244" s="331"/>
      <c r="DI244" s="331"/>
      <c r="DJ244" s="331"/>
      <c r="DK244" s="331"/>
      <c r="DL244" s="331"/>
      <c r="DM244" s="331"/>
      <c r="DN244" s="331"/>
      <c r="DO244" s="331"/>
      <c r="DP244" s="331"/>
      <c r="DQ244" s="331"/>
      <c r="DR244" s="331"/>
      <c r="DS244" s="331"/>
      <c r="DT244" s="331"/>
      <c r="DU244" s="331"/>
      <c r="DV244" s="331"/>
      <c r="DW244" s="331"/>
      <c r="DX244" s="331"/>
      <c r="DY244" s="331"/>
    </row>
    <row r="245" spans="1:129" s="459" customFormat="1" ht="51" x14ac:dyDescent="0.25">
      <c r="A245" s="292">
        <v>314</v>
      </c>
      <c r="B245" s="454" t="s">
        <v>614</v>
      </c>
      <c r="C245" s="292">
        <v>1</v>
      </c>
      <c r="D245" s="454" t="s">
        <v>105</v>
      </c>
      <c r="E245" s="292">
        <v>1</v>
      </c>
      <c r="F245" s="454" t="s">
        <v>112</v>
      </c>
      <c r="G245" s="292">
        <v>22</v>
      </c>
      <c r="H245" s="454" t="s">
        <v>113</v>
      </c>
      <c r="I245" s="292">
        <v>2201</v>
      </c>
      <c r="J245" s="454" t="s">
        <v>114</v>
      </c>
      <c r="K245" s="292">
        <v>2201071</v>
      </c>
      <c r="L245" s="476" t="s">
        <v>658</v>
      </c>
      <c r="M245" s="294">
        <v>220107100</v>
      </c>
      <c r="N245" s="453" t="s">
        <v>659</v>
      </c>
      <c r="O245" s="299" t="s">
        <v>26</v>
      </c>
      <c r="P245" s="299">
        <v>54</v>
      </c>
      <c r="Q245" s="299">
        <v>54</v>
      </c>
      <c r="R245" s="337">
        <v>2020003630016</v>
      </c>
      <c r="S245" s="477" t="s">
        <v>640</v>
      </c>
      <c r="T245" s="470"/>
      <c r="U245" s="470"/>
      <c r="V245" s="470"/>
      <c r="W245" s="470">
        <f>5124318000+571452029.11</f>
        <v>5695770029.1099997</v>
      </c>
      <c r="X245" s="470">
        <v>5695770029.1099997</v>
      </c>
      <c r="Y245" s="470">
        <v>4427745449.7399998</v>
      </c>
      <c r="Z245" s="470"/>
      <c r="AA245" s="470"/>
      <c r="AB245" s="470"/>
      <c r="AC245" s="470"/>
      <c r="AD245" s="470"/>
      <c r="AE245" s="470"/>
      <c r="AF245" s="470">
        <f>206886396999.99+139116291.99-79884293758.45+0.92</f>
        <v>127141219534.44998</v>
      </c>
      <c r="AG245" s="470">
        <v>126970006838.21001</v>
      </c>
      <c r="AH245" s="470">
        <v>126459554115.42001</v>
      </c>
      <c r="AI245" s="470"/>
      <c r="AJ245" s="470"/>
      <c r="AK245" s="470"/>
      <c r="AL245" s="470">
        <f>7444972918.76-1630000000-200000000-3000000000+30000000+205000000-31916072.94</f>
        <v>2818056845.8200002</v>
      </c>
      <c r="AM245" s="470">
        <v>2818056845.8200002</v>
      </c>
      <c r="AN245" s="470">
        <v>2818056845.8200002</v>
      </c>
      <c r="AO245" s="457"/>
      <c r="AP245" s="457"/>
      <c r="AQ245" s="457"/>
      <c r="AR245" s="470"/>
      <c r="AS245" s="470"/>
      <c r="AT245" s="470"/>
      <c r="AU245" s="457">
        <f>SUM(T245,W245,Z245,AC245,AF245,AI245,AL245,AO245,AR245)</f>
        <v>135655046409.37999</v>
      </c>
      <c r="AV245" s="457">
        <f t="shared" si="14"/>
        <v>135483833713.14001</v>
      </c>
      <c r="AW245" s="457">
        <f t="shared" si="15"/>
        <v>133705356410.98003</v>
      </c>
      <c r="AX245" s="475" t="s">
        <v>618</v>
      </c>
      <c r="AY245" s="478"/>
    </row>
    <row r="246" spans="1:129" s="332" customFormat="1" ht="51" x14ac:dyDescent="0.25">
      <c r="A246" s="259">
        <v>314</v>
      </c>
      <c r="B246" s="325" t="s">
        <v>614</v>
      </c>
      <c r="C246" s="259"/>
      <c r="D246" s="325"/>
      <c r="E246" s="259">
        <v>1</v>
      </c>
      <c r="F246" s="325" t="s">
        <v>112</v>
      </c>
      <c r="G246" s="305">
        <v>22</v>
      </c>
      <c r="H246" s="440" t="s">
        <v>113</v>
      </c>
      <c r="I246" s="305">
        <v>2201</v>
      </c>
      <c r="J246" s="333" t="s">
        <v>114</v>
      </c>
      <c r="K246" s="305">
        <v>2201071</v>
      </c>
      <c r="L246" s="333" t="s">
        <v>658</v>
      </c>
      <c r="M246" s="266">
        <v>220107100</v>
      </c>
      <c r="N246" s="474" t="s">
        <v>659</v>
      </c>
      <c r="O246" s="272" t="s">
        <v>26</v>
      </c>
      <c r="P246" s="310">
        <v>54</v>
      </c>
      <c r="Q246" s="310">
        <v>54</v>
      </c>
      <c r="R246" s="281">
        <v>2024003630025</v>
      </c>
      <c r="S246" s="464" t="s">
        <v>660</v>
      </c>
      <c r="T246" s="404"/>
      <c r="U246" s="404"/>
      <c r="V246" s="404"/>
      <c r="W246" s="404"/>
      <c r="X246" s="404"/>
      <c r="Y246" s="404"/>
      <c r="Z246" s="404"/>
      <c r="AA246" s="404"/>
      <c r="AB246" s="404"/>
      <c r="AC246" s="404"/>
      <c r="AD246" s="404"/>
      <c r="AE246" s="404"/>
      <c r="AF246" s="404">
        <f>139116291.99+66939997010.29+10782193678-0.66+33057281311.01</f>
        <v>110918588290.62999</v>
      </c>
      <c r="AG246" s="404">
        <v>42561273593.959999</v>
      </c>
      <c r="AH246" s="404">
        <v>42506392466.959999</v>
      </c>
      <c r="AI246" s="404"/>
      <c r="AJ246" s="404"/>
      <c r="AK246" s="404"/>
      <c r="AL246" s="404">
        <f>31916072.94+72684000+127316000-37555006+35000000-22444994+317958000+652877321.84-8290000-32351662.94-18800000.33</f>
        <v>1118309731.51</v>
      </c>
      <c r="AM246" s="404">
        <v>1097243534.51</v>
      </c>
      <c r="AN246" s="404">
        <v>316468267.93000001</v>
      </c>
      <c r="AO246" s="328"/>
      <c r="AP246" s="328"/>
      <c r="AQ246" s="328"/>
      <c r="AR246" s="404"/>
      <c r="AS246" s="404"/>
      <c r="AT246" s="404"/>
      <c r="AU246" s="328">
        <f>SUM(T246,W246,Z246,AC246,AF246,AI246,AL246,AO246,AR246)</f>
        <v>112036898022.13998</v>
      </c>
      <c r="AV246" s="328">
        <f t="shared" si="14"/>
        <v>43658517128.470001</v>
      </c>
      <c r="AW246" s="328">
        <f t="shared" si="15"/>
        <v>42822860734.889999</v>
      </c>
      <c r="AX246" s="330" t="s">
        <v>618</v>
      </c>
      <c r="AY246" s="331"/>
      <c r="AZ246" s="331"/>
      <c r="BA246" s="331"/>
      <c r="BB246" s="331"/>
      <c r="BC246" s="331"/>
      <c r="BD246" s="331"/>
      <c r="BE246" s="331"/>
      <c r="BF246" s="331"/>
      <c r="BG246" s="331"/>
      <c r="BH246" s="331"/>
      <c r="BI246" s="331"/>
      <c r="BJ246" s="331"/>
      <c r="BK246" s="331"/>
      <c r="BL246" s="331"/>
      <c r="BM246" s="331"/>
      <c r="BN246" s="331"/>
      <c r="BO246" s="331"/>
      <c r="BP246" s="331"/>
      <c r="BQ246" s="331"/>
      <c r="BR246" s="331"/>
      <c r="BS246" s="331"/>
      <c r="BT246" s="331"/>
      <c r="BU246" s="331"/>
      <c r="BV246" s="331"/>
      <c r="BW246" s="331"/>
      <c r="BX246" s="331"/>
      <c r="BY246" s="331"/>
      <c r="BZ246" s="331"/>
      <c r="CA246" s="331"/>
      <c r="CB246" s="331"/>
      <c r="CC246" s="331"/>
      <c r="CD246" s="331"/>
      <c r="CE246" s="331"/>
      <c r="CF246" s="331"/>
      <c r="CG246" s="331"/>
      <c r="CH246" s="331"/>
      <c r="CI246" s="331"/>
      <c r="CJ246" s="331"/>
      <c r="CK246" s="331"/>
      <c r="CL246" s="331"/>
      <c r="CM246" s="331"/>
      <c r="CN246" s="331"/>
      <c r="CO246" s="331"/>
      <c r="CP246" s="331"/>
      <c r="CQ246" s="331"/>
      <c r="CR246" s="331"/>
      <c r="CS246" s="331"/>
      <c r="CT246" s="331"/>
      <c r="CU246" s="331"/>
      <c r="CV246" s="331"/>
      <c r="CW246" s="331"/>
      <c r="CX246" s="331"/>
      <c r="CY246" s="331"/>
      <c r="CZ246" s="331"/>
      <c r="DA246" s="331"/>
      <c r="DB246" s="331"/>
      <c r="DC246" s="331"/>
      <c r="DD246" s="331"/>
      <c r="DE246" s="331"/>
      <c r="DF246" s="331"/>
      <c r="DG246" s="331"/>
      <c r="DH246" s="331"/>
      <c r="DI246" s="331"/>
      <c r="DJ246" s="331"/>
      <c r="DK246" s="331"/>
      <c r="DL246" s="331"/>
      <c r="DM246" s="331"/>
      <c r="DN246" s="331"/>
      <c r="DO246" s="331"/>
      <c r="DP246" s="331"/>
      <c r="DQ246" s="331"/>
      <c r="DR246" s="331"/>
      <c r="DS246" s="331"/>
      <c r="DT246" s="331"/>
      <c r="DU246" s="331"/>
      <c r="DV246" s="331"/>
      <c r="DW246" s="331"/>
      <c r="DX246" s="331"/>
      <c r="DY246" s="331"/>
    </row>
    <row r="247" spans="1:129" s="459" customFormat="1" ht="51" x14ac:dyDescent="0.25">
      <c r="A247" s="292">
        <v>314</v>
      </c>
      <c r="B247" s="454" t="s">
        <v>614</v>
      </c>
      <c r="C247" s="292">
        <v>1</v>
      </c>
      <c r="D247" s="454" t="s">
        <v>105</v>
      </c>
      <c r="E247" s="292">
        <v>1</v>
      </c>
      <c r="F247" s="454" t="s">
        <v>112</v>
      </c>
      <c r="G247" s="292">
        <v>22</v>
      </c>
      <c r="H247" s="454" t="s">
        <v>113</v>
      </c>
      <c r="I247" s="292">
        <v>2201</v>
      </c>
      <c r="J247" s="454" t="s">
        <v>114</v>
      </c>
      <c r="K247" s="292">
        <v>2201050</v>
      </c>
      <c r="L247" s="454" t="s">
        <v>650</v>
      </c>
      <c r="M247" s="294">
        <v>220105001</v>
      </c>
      <c r="N247" s="453" t="s">
        <v>661</v>
      </c>
      <c r="O247" s="299" t="s">
        <v>26</v>
      </c>
      <c r="P247" s="299">
        <v>150</v>
      </c>
      <c r="Q247" s="299">
        <v>0</v>
      </c>
      <c r="R247" s="337">
        <v>2020003630094</v>
      </c>
      <c r="S247" s="477" t="s">
        <v>662</v>
      </c>
      <c r="T247" s="457"/>
      <c r="U247" s="457"/>
      <c r="V247" s="457"/>
      <c r="W247" s="457"/>
      <c r="X247" s="457"/>
      <c r="Y247" s="457"/>
      <c r="Z247" s="457"/>
      <c r="AA247" s="457"/>
      <c r="AB247" s="457"/>
      <c r="AC247" s="457"/>
      <c r="AD247" s="457"/>
      <c r="AE247" s="457"/>
      <c r="AF247" s="457">
        <f>684320000-93973440-5346560</f>
        <v>585000000</v>
      </c>
      <c r="AG247" s="457">
        <v>466892000</v>
      </c>
      <c r="AH247" s="457"/>
      <c r="AI247" s="457"/>
      <c r="AJ247" s="457"/>
      <c r="AK247" s="457"/>
      <c r="AL247" s="470"/>
      <c r="AM247" s="470"/>
      <c r="AN247" s="470"/>
      <c r="AO247" s="457"/>
      <c r="AP247" s="457"/>
      <c r="AQ247" s="457"/>
      <c r="AR247" s="457"/>
      <c r="AS247" s="457"/>
      <c r="AT247" s="457"/>
      <c r="AU247" s="457">
        <f t="shared" si="16"/>
        <v>585000000</v>
      </c>
      <c r="AV247" s="457">
        <f t="shared" si="14"/>
        <v>466892000</v>
      </c>
      <c r="AW247" s="457">
        <f t="shared" si="15"/>
        <v>0</v>
      </c>
      <c r="AX247" s="475" t="s">
        <v>618</v>
      </c>
    </row>
    <row r="248" spans="1:129" s="459" customFormat="1" ht="102" x14ac:dyDescent="0.25">
      <c r="A248" s="292">
        <v>314</v>
      </c>
      <c r="B248" s="454" t="s">
        <v>614</v>
      </c>
      <c r="C248" s="292">
        <v>1</v>
      </c>
      <c r="D248" s="454" t="s">
        <v>105</v>
      </c>
      <c r="E248" s="292">
        <v>1</v>
      </c>
      <c r="F248" s="454" t="s">
        <v>112</v>
      </c>
      <c r="G248" s="292">
        <v>22</v>
      </c>
      <c r="H248" s="454" t="s">
        <v>113</v>
      </c>
      <c r="I248" s="292">
        <v>2202</v>
      </c>
      <c r="J248" s="454" t="s">
        <v>663</v>
      </c>
      <c r="K248" s="292">
        <v>2202006</v>
      </c>
      <c r="L248" s="454" t="s">
        <v>664</v>
      </c>
      <c r="M248" s="292">
        <v>220200604</v>
      </c>
      <c r="N248" s="453" t="s">
        <v>665</v>
      </c>
      <c r="O248" s="299" t="s">
        <v>26</v>
      </c>
      <c r="P248" s="299">
        <v>2</v>
      </c>
      <c r="Q248" s="299">
        <v>2</v>
      </c>
      <c r="R248" s="337">
        <v>2020003630096</v>
      </c>
      <c r="S248" s="477" t="s">
        <v>666</v>
      </c>
      <c r="T248" s="457"/>
      <c r="U248" s="457"/>
      <c r="V248" s="457"/>
      <c r="W248" s="470"/>
      <c r="X248" s="470"/>
      <c r="Y248" s="470"/>
      <c r="Z248" s="457"/>
      <c r="AA248" s="457"/>
      <c r="AB248" s="457"/>
      <c r="AC248" s="457"/>
      <c r="AD248" s="457"/>
      <c r="AE248" s="457"/>
      <c r="AF248" s="457"/>
      <c r="AG248" s="457"/>
      <c r="AH248" s="457"/>
      <c r="AI248" s="457"/>
      <c r="AJ248" s="457"/>
      <c r="AK248" s="457"/>
      <c r="AL248" s="470">
        <f>250000000-65812004</f>
        <v>184187996</v>
      </c>
      <c r="AM248" s="470">
        <v>184187996</v>
      </c>
      <c r="AN248" s="470">
        <v>140176494</v>
      </c>
      <c r="AO248" s="457"/>
      <c r="AP248" s="457"/>
      <c r="AQ248" s="457"/>
      <c r="AR248" s="457"/>
      <c r="AS248" s="457"/>
      <c r="AT248" s="457"/>
      <c r="AU248" s="457">
        <f t="shared" si="16"/>
        <v>184187996</v>
      </c>
      <c r="AV248" s="457">
        <f t="shared" si="14"/>
        <v>184187996</v>
      </c>
      <c r="AW248" s="457">
        <f t="shared" si="15"/>
        <v>140176494</v>
      </c>
      <c r="AX248" s="475" t="s">
        <v>618</v>
      </c>
    </row>
    <row r="249" spans="1:129" s="332" customFormat="1" ht="89.25" x14ac:dyDescent="0.25">
      <c r="A249" s="277">
        <v>314</v>
      </c>
      <c r="B249" s="325" t="s">
        <v>614</v>
      </c>
      <c r="C249" s="259"/>
      <c r="D249" s="325"/>
      <c r="E249" s="259">
        <v>1</v>
      </c>
      <c r="F249" s="325" t="s">
        <v>112</v>
      </c>
      <c r="G249" s="259">
        <v>22</v>
      </c>
      <c r="H249" s="440" t="s">
        <v>113</v>
      </c>
      <c r="I249" s="259">
        <v>2202</v>
      </c>
      <c r="J249" s="325" t="s">
        <v>667</v>
      </c>
      <c r="K249" s="259">
        <v>2202065</v>
      </c>
      <c r="L249" s="325" t="s">
        <v>668</v>
      </c>
      <c r="M249" s="259">
        <v>220206500</v>
      </c>
      <c r="N249" s="259" t="s">
        <v>669</v>
      </c>
      <c r="O249" s="272" t="s">
        <v>67</v>
      </c>
      <c r="P249" s="272">
        <v>100</v>
      </c>
      <c r="Q249" s="272">
        <v>156</v>
      </c>
      <c r="R249" s="281">
        <v>2024003630020</v>
      </c>
      <c r="S249" s="464" t="s">
        <v>670</v>
      </c>
      <c r="T249" s="328"/>
      <c r="U249" s="328"/>
      <c r="V249" s="328"/>
      <c r="W249" s="404"/>
      <c r="X249" s="404"/>
      <c r="Y249" s="404"/>
      <c r="Z249" s="328"/>
      <c r="AA249" s="328"/>
      <c r="AB249" s="328"/>
      <c r="AC249" s="328"/>
      <c r="AD249" s="328"/>
      <c r="AE249" s="328"/>
      <c r="AF249" s="328"/>
      <c r="AG249" s="328"/>
      <c r="AH249" s="328"/>
      <c r="AI249" s="328"/>
      <c r="AJ249" s="328"/>
      <c r="AK249" s="328"/>
      <c r="AL249" s="404">
        <f>20000000+65812004-20000000</f>
        <v>65812004</v>
      </c>
      <c r="AM249" s="404">
        <v>32873035</v>
      </c>
      <c r="AN249" s="404">
        <v>32873035</v>
      </c>
      <c r="AO249" s="328"/>
      <c r="AP249" s="328"/>
      <c r="AQ249" s="328"/>
      <c r="AR249" s="328"/>
      <c r="AS249" s="328"/>
      <c r="AT249" s="328"/>
      <c r="AU249" s="328">
        <f t="shared" si="16"/>
        <v>65812004</v>
      </c>
      <c r="AV249" s="328">
        <f t="shared" si="14"/>
        <v>32873035</v>
      </c>
      <c r="AW249" s="328">
        <f t="shared" si="15"/>
        <v>32873035</v>
      </c>
      <c r="AX249" s="330" t="s">
        <v>618</v>
      </c>
      <c r="AY249" s="331"/>
      <c r="AZ249" s="331"/>
      <c r="BA249" s="331"/>
      <c r="BB249" s="331"/>
      <c r="BC249" s="331"/>
      <c r="BD249" s="331"/>
      <c r="BE249" s="331"/>
      <c r="BF249" s="331"/>
      <c r="BG249" s="331"/>
      <c r="BH249" s="331"/>
      <c r="BI249" s="331"/>
      <c r="BJ249" s="331"/>
      <c r="BK249" s="331"/>
      <c r="BL249" s="331"/>
      <c r="BM249" s="331"/>
      <c r="BN249" s="331"/>
      <c r="BO249" s="331"/>
      <c r="BP249" s="331"/>
      <c r="BQ249" s="331"/>
      <c r="BR249" s="331"/>
      <c r="BS249" s="331"/>
      <c r="BT249" s="331"/>
      <c r="BU249" s="331"/>
      <c r="BV249" s="331"/>
      <c r="BW249" s="331"/>
      <c r="BX249" s="331"/>
      <c r="BY249" s="331"/>
      <c r="BZ249" s="331"/>
      <c r="CA249" s="331"/>
      <c r="CB249" s="331"/>
      <c r="CC249" s="331"/>
      <c r="CD249" s="331"/>
      <c r="CE249" s="331"/>
      <c r="CF249" s="331"/>
      <c r="CG249" s="331"/>
      <c r="CH249" s="331"/>
      <c r="CI249" s="331"/>
      <c r="CJ249" s="331"/>
      <c r="CK249" s="331"/>
      <c r="CL249" s="331"/>
      <c r="CM249" s="331"/>
      <c r="CN249" s="331"/>
      <c r="CO249" s="331"/>
      <c r="CP249" s="331"/>
      <c r="CQ249" s="331"/>
      <c r="CR249" s="331"/>
      <c r="CS249" s="331"/>
      <c r="CT249" s="331"/>
      <c r="CU249" s="331"/>
      <c r="CV249" s="331"/>
      <c r="CW249" s="331"/>
      <c r="CX249" s="331"/>
      <c r="CY249" s="331"/>
      <c r="CZ249" s="331"/>
      <c r="DA249" s="331"/>
      <c r="DB249" s="331"/>
      <c r="DC249" s="331"/>
      <c r="DD249" s="331"/>
      <c r="DE249" s="331"/>
      <c r="DF249" s="331"/>
      <c r="DG249" s="331"/>
      <c r="DH249" s="331"/>
      <c r="DI249" s="331"/>
      <c r="DJ249" s="331"/>
      <c r="DK249" s="331"/>
      <c r="DL249" s="331"/>
      <c r="DM249" s="331"/>
      <c r="DN249" s="331"/>
      <c r="DO249" s="331"/>
      <c r="DP249" s="331"/>
      <c r="DQ249" s="331"/>
      <c r="DR249" s="331"/>
      <c r="DS249" s="331"/>
      <c r="DT249" s="331"/>
      <c r="DU249" s="331"/>
      <c r="DV249" s="331"/>
      <c r="DW249" s="331"/>
      <c r="DX249" s="331"/>
      <c r="DY249" s="331"/>
    </row>
    <row r="250" spans="1:129" s="332" customFormat="1" ht="51" x14ac:dyDescent="0.25">
      <c r="A250" s="259">
        <v>314</v>
      </c>
      <c r="B250" s="325" t="s">
        <v>614</v>
      </c>
      <c r="C250" s="259"/>
      <c r="D250" s="325"/>
      <c r="E250" s="259">
        <v>1</v>
      </c>
      <c r="F250" s="325" t="s">
        <v>112</v>
      </c>
      <c r="G250" s="259">
        <v>22</v>
      </c>
      <c r="H250" s="440" t="s">
        <v>113</v>
      </c>
      <c r="I250" s="259">
        <v>2201</v>
      </c>
      <c r="J250" s="325" t="s">
        <v>114</v>
      </c>
      <c r="K250" s="259">
        <v>2201087</v>
      </c>
      <c r="L250" s="325" t="s">
        <v>671</v>
      </c>
      <c r="M250" s="277">
        <v>220108700</v>
      </c>
      <c r="N250" s="474" t="s">
        <v>672</v>
      </c>
      <c r="O250" s="272" t="s">
        <v>26</v>
      </c>
      <c r="P250" s="272">
        <v>1</v>
      </c>
      <c r="Q250" s="272">
        <v>0</v>
      </c>
      <c r="R250" s="281">
        <v>2024003630019</v>
      </c>
      <c r="S250" s="464" t="s">
        <v>673</v>
      </c>
      <c r="T250" s="328"/>
      <c r="U250" s="328"/>
      <c r="V250" s="328"/>
      <c r="W250" s="404"/>
      <c r="X250" s="404"/>
      <c r="Y250" s="404"/>
      <c r="Z250" s="328"/>
      <c r="AA250" s="328"/>
      <c r="AB250" s="328"/>
      <c r="AC250" s="328"/>
      <c r="AD250" s="328"/>
      <c r="AE250" s="328"/>
      <c r="AF250" s="328"/>
      <c r="AG250" s="328"/>
      <c r="AH250" s="328"/>
      <c r="AI250" s="328"/>
      <c r="AJ250" s="328"/>
      <c r="AK250" s="328"/>
      <c r="AL250" s="404">
        <f>19500000-7500000-3500000</f>
        <v>8500000</v>
      </c>
      <c r="AM250" s="404">
        <v>8450000</v>
      </c>
      <c r="AN250" s="404">
        <v>3900000</v>
      </c>
      <c r="AO250" s="328"/>
      <c r="AP250" s="328"/>
      <c r="AQ250" s="328"/>
      <c r="AR250" s="328"/>
      <c r="AS250" s="328"/>
      <c r="AT250" s="328"/>
      <c r="AU250" s="328">
        <f t="shared" si="16"/>
        <v>8500000</v>
      </c>
      <c r="AV250" s="328">
        <f t="shared" si="14"/>
        <v>8450000</v>
      </c>
      <c r="AW250" s="328">
        <f t="shared" si="15"/>
        <v>3900000</v>
      </c>
      <c r="AX250" s="330" t="s">
        <v>618</v>
      </c>
      <c r="AY250" s="331"/>
      <c r="AZ250" s="331"/>
      <c r="BA250" s="331"/>
      <c r="BB250" s="331"/>
      <c r="BC250" s="331"/>
      <c r="BD250" s="331"/>
      <c r="BE250" s="331"/>
      <c r="BF250" s="331"/>
      <c r="BG250" s="331"/>
      <c r="BH250" s="331"/>
      <c r="BI250" s="331"/>
      <c r="BJ250" s="331"/>
      <c r="BK250" s="331"/>
      <c r="BL250" s="331"/>
      <c r="BM250" s="331"/>
      <c r="BN250" s="331"/>
      <c r="BO250" s="331"/>
      <c r="BP250" s="331"/>
      <c r="BQ250" s="331"/>
      <c r="BR250" s="331"/>
      <c r="BS250" s="331"/>
      <c r="BT250" s="331"/>
      <c r="BU250" s="331"/>
      <c r="BV250" s="331"/>
      <c r="BW250" s="331"/>
      <c r="BX250" s="331"/>
      <c r="BY250" s="331"/>
      <c r="BZ250" s="331"/>
      <c r="CA250" s="331"/>
      <c r="CB250" s="331"/>
      <c r="CC250" s="331"/>
      <c r="CD250" s="331"/>
      <c r="CE250" s="331"/>
      <c r="CF250" s="331"/>
      <c r="CG250" s="331"/>
      <c r="CH250" s="331"/>
      <c r="CI250" s="331"/>
      <c r="CJ250" s="331"/>
      <c r="CK250" s="331"/>
      <c r="CL250" s="331"/>
      <c r="CM250" s="331"/>
      <c r="CN250" s="331"/>
      <c r="CO250" s="331"/>
      <c r="CP250" s="331"/>
      <c r="CQ250" s="331"/>
      <c r="CR250" s="331"/>
      <c r="CS250" s="331"/>
      <c r="CT250" s="331"/>
      <c r="CU250" s="331"/>
      <c r="CV250" s="331"/>
      <c r="CW250" s="331"/>
      <c r="CX250" s="331"/>
      <c r="CY250" s="331"/>
      <c r="CZ250" s="331"/>
      <c r="DA250" s="331"/>
      <c r="DB250" s="331"/>
      <c r="DC250" s="331"/>
      <c r="DD250" s="331"/>
      <c r="DE250" s="331"/>
      <c r="DF250" s="331"/>
      <c r="DG250" s="331"/>
      <c r="DH250" s="331"/>
      <c r="DI250" s="331"/>
      <c r="DJ250" s="331"/>
      <c r="DK250" s="331"/>
      <c r="DL250" s="331"/>
      <c r="DM250" s="331"/>
      <c r="DN250" s="331"/>
      <c r="DO250" s="331"/>
      <c r="DP250" s="331"/>
      <c r="DQ250" s="331"/>
      <c r="DR250" s="331"/>
      <c r="DS250" s="331"/>
      <c r="DT250" s="331"/>
      <c r="DU250" s="331"/>
      <c r="DV250" s="331"/>
      <c r="DW250" s="331"/>
      <c r="DX250" s="331"/>
      <c r="DY250" s="331"/>
    </row>
    <row r="251" spans="1:129" s="459" customFormat="1" ht="76.5" x14ac:dyDescent="0.25">
      <c r="A251" s="292">
        <v>316</v>
      </c>
      <c r="B251" s="454" t="s">
        <v>674</v>
      </c>
      <c r="C251" s="292">
        <v>1</v>
      </c>
      <c r="D251" s="454" t="s">
        <v>105</v>
      </c>
      <c r="E251" s="292">
        <v>1</v>
      </c>
      <c r="F251" s="454" t="s">
        <v>112</v>
      </c>
      <c r="G251" s="292">
        <v>19</v>
      </c>
      <c r="H251" s="454" t="s">
        <v>195</v>
      </c>
      <c r="I251" s="292">
        <v>1905</v>
      </c>
      <c r="J251" s="454" t="s">
        <v>675</v>
      </c>
      <c r="K251" s="295">
        <v>1905021</v>
      </c>
      <c r="L251" s="454" t="s">
        <v>676</v>
      </c>
      <c r="M251" s="295">
        <v>190502100</v>
      </c>
      <c r="N251" s="453" t="s">
        <v>677</v>
      </c>
      <c r="O251" s="299" t="s">
        <v>26</v>
      </c>
      <c r="P251" s="299">
        <v>12</v>
      </c>
      <c r="Q251" s="299">
        <v>6</v>
      </c>
      <c r="R251" s="337">
        <v>2020003630011</v>
      </c>
      <c r="S251" s="477" t="s">
        <v>678</v>
      </c>
      <c r="T251" s="457"/>
      <c r="U251" s="457"/>
      <c r="V251" s="457"/>
      <c r="W251" s="457"/>
      <c r="X251" s="457"/>
      <c r="Y251" s="457"/>
      <c r="Z251" s="457"/>
      <c r="AA251" s="457"/>
      <c r="AB251" s="457"/>
      <c r="AC251" s="457"/>
      <c r="AD251" s="457"/>
      <c r="AE251" s="457"/>
      <c r="AF251" s="457"/>
      <c r="AG251" s="457"/>
      <c r="AH251" s="457"/>
      <c r="AI251" s="457"/>
      <c r="AJ251" s="457"/>
      <c r="AK251" s="457"/>
      <c r="AL251" s="457">
        <f>80000000-32762500</f>
        <v>47237500</v>
      </c>
      <c r="AM251" s="457">
        <v>47237500</v>
      </c>
      <c r="AN251" s="457">
        <v>47237500</v>
      </c>
      <c r="AO251" s="457"/>
      <c r="AP251" s="457"/>
      <c r="AQ251" s="457"/>
      <c r="AR251" s="457"/>
      <c r="AS251" s="457"/>
      <c r="AT251" s="457"/>
      <c r="AU251" s="457">
        <f t="shared" si="16"/>
        <v>47237500</v>
      </c>
      <c r="AV251" s="457">
        <f t="shared" si="14"/>
        <v>47237500</v>
      </c>
      <c r="AW251" s="457">
        <f t="shared" si="15"/>
        <v>47237500</v>
      </c>
      <c r="AX251" s="475" t="s">
        <v>679</v>
      </c>
    </row>
    <row r="252" spans="1:129" s="459" customFormat="1" ht="76.5" x14ac:dyDescent="0.25">
      <c r="A252" s="322">
        <v>316</v>
      </c>
      <c r="B252" s="479" t="s">
        <v>674</v>
      </c>
      <c r="C252" s="322">
        <v>1</v>
      </c>
      <c r="D252" s="479" t="s">
        <v>105</v>
      </c>
      <c r="E252" s="322">
        <v>1</v>
      </c>
      <c r="F252" s="479" t="s">
        <v>112</v>
      </c>
      <c r="G252" s="322">
        <v>19</v>
      </c>
      <c r="H252" s="479" t="s">
        <v>195</v>
      </c>
      <c r="I252" s="322">
        <v>1905</v>
      </c>
      <c r="J252" s="479" t="s">
        <v>675</v>
      </c>
      <c r="K252" s="339">
        <v>1905022</v>
      </c>
      <c r="L252" s="480" t="s">
        <v>680</v>
      </c>
      <c r="M252" s="296">
        <v>190502200</v>
      </c>
      <c r="N252" s="481" t="s">
        <v>681</v>
      </c>
      <c r="O252" s="296" t="s">
        <v>26</v>
      </c>
      <c r="P252" s="296">
        <v>12</v>
      </c>
      <c r="Q252" s="296">
        <v>9</v>
      </c>
      <c r="R252" s="482">
        <v>2020003630011</v>
      </c>
      <c r="S252" s="483" t="s">
        <v>678</v>
      </c>
      <c r="T252" s="484"/>
      <c r="U252" s="484"/>
      <c r="V252" s="484"/>
      <c r="W252" s="484"/>
      <c r="X252" s="484"/>
      <c r="Y252" s="484"/>
      <c r="Z252" s="484"/>
      <c r="AA252" s="484"/>
      <c r="AB252" s="484"/>
      <c r="AC252" s="484"/>
      <c r="AD252" s="484"/>
      <c r="AE252" s="484"/>
      <c r="AF252" s="484"/>
      <c r="AG252" s="484"/>
      <c r="AH252" s="484"/>
      <c r="AI252" s="484"/>
      <c r="AJ252" s="484"/>
      <c r="AK252" s="484"/>
      <c r="AL252" s="484">
        <f>60000000-1350000</f>
        <v>58650000</v>
      </c>
      <c r="AM252" s="484">
        <v>58650000</v>
      </c>
      <c r="AN252" s="484">
        <v>58650000</v>
      </c>
      <c r="AO252" s="484"/>
      <c r="AP252" s="484"/>
      <c r="AQ252" s="484"/>
      <c r="AR252" s="484"/>
      <c r="AS252" s="484"/>
      <c r="AT252" s="484"/>
      <c r="AU252" s="484">
        <f t="shared" si="16"/>
        <v>58650000</v>
      </c>
      <c r="AV252" s="484">
        <f t="shared" si="14"/>
        <v>58650000</v>
      </c>
      <c r="AW252" s="484">
        <f t="shared" si="15"/>
        <v>58650000</v>
      </c>
      <c r="AX252" s="485" t="s">
        <v>679</v>
      </c>
    </row>
    <row r="253" spans="1:129" s="332" customFormat="1" ht="76.5" x14ac:dyDescent="0.25">
      <c r="A253" s="259">
        <v>316</v>
      </c>
      <c r="B253" s="325" t="s">
        <v>674</v>
      </c>
      <c r="C253" s="259"/>
      <c r="D253" s="325"/>
      <c r="E253" s="259">
        <v>1</v>
      </c>
      <c r="F253" s="325" t="s">
        <v>112</v>
      </c>
      <c r="G253" s="282" t="s">
        <v>682</v>
      </c>
      <c r="H253" s="385" t="s">
        <v>195</v>
      </c>
      <c r="I253" s="259">
        <v>1905</v>
      </c>
      <c r="J253" s="325" t="s">
        <v>683</v>
      </c>
      <c r="K253" s="340">
        <v>1905021</v>
      </c>
      <c r="L253" s="486" t="s">
        <v>684</v>
      </c>
      <c r="M253" s="340">
        <v>190502100</v>
      </c>
      <c r="N253" s="385" t="s">
        <v>685</v>
      </c>
      <c r="O253" s="272" t="s">
        <v>26</v>
      </c>
      <c r="P253" s="272">
        <v>12</v>
      </c>
      <c r="Q253" s="272">
        <v>3</v>
      </c>
      <c r="R253" s="281">
        <v>2024003630087</v>
      </c>
      <c r="S253" s="464" t="s">
        <v>686</v>
      </c>
      <c r="T253" s="328"/>
      <c r="U253" s="328"/>
      <c r="V253" s="328"/>
      <c r="W253" s="328"/>
      <c r="X253" s="328"/>
      <c r="Y253" s="328"/>
      <c r="Z253" s="328"/>
      <c r="AA253" s="328"/>
      <c r="AB253" s="328"/>
      <c r="AC253" s="328"/>
      <c r="AD253" s="328"/>
      <c r="AE253" s="328"/>
      <c r="AF253" s="328"/>
      <c r="AG253" s="328"/>
      <c r="AH253" s="328"/>
      <c r="AI253" s="328"/>
      <c r="AJ253" s="328"/>
      <c r="AK253" s="328"/>
      <c r="AL253" s="328">
        <v>50000000</v>
      </c>
      <c r="AM253" s="328">
        <v>45680000</v>
      </c>
      <c r="AN253" s="328">
        <v>31550000</v>
      </c>
      <c r="AO253" s="328"/>
      <c r="AP253" s="328"/>
      <c r="AQ253" s="328"/>
      <c r="AR253" s="328"/>
      <c r="AS253" s="328"/>
      <c r="AT253" s="328"/>
      <c r="AU253" s="328">
        <f t="shared" si="16"/>
        <v>50000000</v>
      </c>
      <c r="AV253" s="328">
        <f t="shared" si="14"/>
        <v>45680000</v>
      </c>
      <c r="AW253" s="328">
        <f t="shared" si="15"/>
        <v>31550000</v>
      </c>
      <c r="AX253" s="330" t="s">
        <v>679</v>
      </c>
      <c r="AY253" s="331"/>
      <c r="AZ253" s="331"/>
      <c r="BA253" s="331"/>
      <c r="BB253" s="331"/>
      <c r="BC253" s="331"/>
      <c r="BD253" s="331"/>
      <c r="BE253" s="331"/>
      <c r="BF253" s="331"/>
      <c r="BG253" s="331"/>
      <c r="BH253" s="331"/>
      <c r="BI253" s="331"/>
      <c r="BJ253" s="331"/>
      <c r="BK253" s="331"/>
      <c r="BL253" s="331"/>
      <c r="BM253" s="331"/>
      <c r="BN253" s="331"/>
      <c r="BO253" s="331"/>
      <c r="BP253" s="331"/>
      <c r="BQ253" s="331"/>
      <c r="BR253" s="331"/>
      <c r="BS253" s="331"/>
      <c r="BT253" s="331"/>
      <c r="BU253" s="331"/>
      <c r="BV253" s="331"/>
      <c r="BW253" s="331"/>
      <c r="BX253" s="331"/>
      <c r="BY253" s="331"/>
      <c r="BZ253" s="331"/>
      <c r="CA253" s="331"/>
      <c r="CB253" s="331"/>
      <c r="CC253" s="331"/>
      <c r="CD253" s="331"/>
      <c r="CE253" s="331"/>
      <c r="CF253" s="331"/>
      <c r="CG253" s="331"/>
      <c r="CH253" s="331"/>
      <c r="CI253" s="331"/>
      <c r="CJ253" s="331"/>
      <c r="CK253" s="331"/>
      <c r="CL253" s="331"/>
      <c r="CM253" s="331"/>
      <c r="CN253" s="331"/>
      <c r="CO253" s="331"/>
      <c r="CP253" s="331"/>
      <c r="CQ253" s="331"/>
      <c r="CR253" s="331"/>
      <c r="CS253" s="331"/>
      <c r="CT253" s="331"/>
      <c r="CU253" s="331"/>
      <c r="CV253" s="331"/>
      <c r="CW253" s="331"/>
      <c r="CX253" s="331"/>
      <c r="CY253" s="331"/>
      <c r="CZ253" s="331"/>
      <c r="DA253" s="331"/>
      <c r="DB253" s="331"/>
      <c r="DC253" s="331"/>
      <c r="DD253" s="331"/>
      <c r="DE253" s="331"/>
      <c r="DF253" s="331"/>
      <c r="DG253" s="331"/>
      <c r="DH253" s="331"/>
      <c r="DI253" s="331"/>
      <c r="DJ253" s="331"/>
      <c r="DK253" s="331"/>
      <c r="DL253" s="331"/>
      <c r="DM253" s="331"/>
      <c r="DN253" s="331"/>
      <c r="DO253" s="331"/>
      <c r="DP253" s="331"/>
      <c r="DQ253" s="331"/>
      <c r="DR253" s="331"/>
      <c r="DS253" s="331"/>
      <c r="DT253" s="331"/>
      <c r="DU253" s="331"/>
      <c r="DV253" s="331"/>
      <c r="DW253" s="331"/>
      <c r="DX253" s="331"/>
      <c r="DY253" s="331"/>
    </row>
    <row r="254" spans="1:129" s="332" customFormat="1" ht="76.5" x14ac:dyDescent="0.25">
      <c r="A254" s="487">
        <v>316</v>
      </c>
      <c r="B254" s="488" t="s">
        <v>674</v>
      </c>
      <c r="C254" s="487"/>
      <c r="D254" s="488"/>
      <c r="E254" s="487">
        <v>1</v>
      </c>
      <c r="F254" s="488" t="s">
        <v>112</v>
      </c>
      <c r="G254" s="489" t="s">
        <v>682</v>
      </c>
      <c r="H254" s="490" t="s">
        <v>195</v>
      </c>
      <c r="I254" s="487">
        <v>1905</v>
      </c>
      <c r="J254" s="488" t="s">
        <v>683</v>
      </c>
      <c r="K254" s="341">
        <v>1905022</v>
      </c>
      <c r="L254" s="491" t="s">
        <v>687</v>
      </c>
      <c r="M254" s="341">
        <v>190502200</v>
      </c>
      <c r="N254" s="490" t="s">
        <v>681</v>
      </c>
      <c r="O254" s="311" t="s">
        <v>26</v>
      </c>
      <c r="P254" s="311">
        <v>12</v>
      </c>
      <c r="Q254" s="311">
        <v>2</v>
      </c>
      <c r="R254" s="492">
        <v>2024003630087</v>
      </c>
      <c r="S254" s="493" t="s">
        <v>686</v>
      </c>
      <c r="T254" s="494"/>
      <c r="U254" s="494"/>
      <c r="V254" s="494"/>
      <c r="W254" s="494"/>
      <c r="X254" s="494"/>
      <c r="Y254" s="494"/>
      <c r="Z254" s="494"/>
      <c r="AA254" s="494"/>
      <c r="AB254" s="494"/>
      <c r="AC254" s="494"/>
      <c r="AD254" s="494"/>
      <c r="AE254" s="494"/>
      <c r="AF254" s="494"/>
      <c r="AG254" s="494"/>
      <c r="AH254" s="494"/>
      <c r="AI254" s="494"/>
      <c r="AJ254" s="494"/>
      <c r="AK254" s="494"/>
      <c r="AL254" s="494">
        <v>16818000</v>
      </c>
      <c r="AM254" s="494">
        <v>16643333</v>
      </c>
      <c r="AN254" s="494">
        <v>8150000</v>
      </c>
      <c r="AO254" s="494"/>
      <c r="AP254" s="494"/>
      <c r="AQ254" s="494"/>
      <c r="AR254" s="494"/>
      <c r="AS254" s="494"/>
      <c r="AT254" s="494"/>
      <c r="AU254" s="494">
        <f t="shared" si="16"/>
        <v>16818000</v>
      </c>
      <c r="AV254" s="494">
        <f t="shared" si="14"/>
        <v>16643333</v>
      </c>
      <c r="AW254" s="494">
        <f t="shared" si="15"/>
        <v>8150000</v>
      </c>
      <c r="AX254" s="495" t="s">
        <v>679</v>
      </c>
      <c r="AY254" s="331"/>
      <c r="AZ254" s="331"/>
      <c r="BA254" s="331"/>
      <c r="BB254" s="331"/>
      <c r="BC254" s="331"/>
      <c r="BD254" s="331"/>
      <c r="BE254" s="331"/>
      <c r="BF254" s="331"/>
      <c r="BG254" s="331"/>
      <c r="BH254" s="331"/>
      <c r="BI254" s="331"/>
      <c r="BJ254" s="331"/>
      <c r="BK254" s="331"/>
      <c r="BL254" s="331"/>
      <c r="BM254" s="331"/>
      <c r="BN254" s="331"/>
      <c r="BO254" s="331"/>
      <c r="BP254" s="331"/>
      <c r="BQ254" s="331"/>
      <c r="BR254" s="331"/>
      <c r="BS254" s="331"/>
      <c r="BT254" s="331"/>
      <c r="BU254" s="331"/>
      <c r="BV254" s="331"/>
      <c r="BW254" s="331"/>
      <c r="BX254" s="331"/>
      <c r="BY254" s="331"/>
      <c r="BZ254" s="331"/>
      <c r="CA254" s="331"/>
      <c r="CB254" s="331"/>
      <c r="CC254" s="331"/>
      <c r="CD254" s="331"/>
      <c r="CE254" s="331"/>
      <c r="CF254" s="331"/>
      <c r="CG254" s="331"/>
      <c r="CH254" s="331"/>
      <c r="CI254" s="331"/>
      <c r="CJ254" s="331"/>
      <c r="CK254" s="331"/>
      <c r="CL254" s="331"/>
      <c r="CM254" s="331"/>
      <c r="CN254" s="331"/>
      <c r="CO254" s="331"/>
      <c r="CP254" s="331"/>
      <c r="CQ254" s="331"/>
      <c r="CR254" s="331"/>
      <c r="CS254" s="331"/>
      <c r="CT254" s="331"/>
      <c r="CU254" s="331"/>
      <c r="CV254" s="331"/>
      <c r="CW254" s="331"/>
      <c r="CX254" s="331"/>
      <c r="CY254" s="331"/>
      <c r="CZ254" s="331"/>
      <c r="DA254" s="331"/>
      <c r="DB254" s="331"/>
      <c r="DC254" s="331"/>
      <c r="DD254" s="331"/>
      <c r="DE254" s="331"/>
      <c r="DF254" s="331"/>
      <c r="DG254" s="331"/>
      <c r="DH254" s="331"/>
      <c r="DI254" s="331"/>
      <c r="DJ254" s="331"/>
      <c r="DK254" s="331"/>
      <c r="DL254" s="331"/>
      <c r="DM254" s="331"/>
      <c r="DN254" s="331"/>
      <c r="DO254" s="331"/>
      <c r="DP254" s="331"/>
      <c r="DQ254" s="331"/>
      <c r="DR254" s="331"/>
      <c r="DS254" s="331"/>
      <c r="DT254" s="331"/>
      <c r="DU254" s="331"/>
      <c r="DV254" s="331"/>
      <c r="DW254" s="331"/>
      <c r="DX254" s="331"/>
      <c r="DY254" s="331"/>
    </row>
    <row r="255" spans="1:129" s="459" customFormat="1" ht="76.5" x14ac:dyDescent="0.25">
      <c r="A255" s="292">
        <v>316</v>
      </c>
      <c r="B255" s="454" t="s">
        <v>674</v>
      </c>
      <c r="C255" s="292">
        <v>1</v>
      </c>
      <c r="D255" s="454" t="s">
        <v>105</v>
      </c>
      <c r="E255" s="292">
        <v>1</v>
      </c>
      <c r="F255" s="454" t="s">
        <v>112</v>
      </c>
      <c r="G255" s="292">
        <v>41</v>
      </c>
      <c r="H255" s="454" t="s">
        <v>129</v>
      </c>
      <c r="I255" s="292">
        <v>4102</v>
      </c>
      <c r="J255" s="454" t="s">
        <v>202</v>
      </c>
      <c r="K255" s="297" t="s">
        <v>688</v>
      </c>
      <c r="L255" s="454" t="s">
        <v>689</v>
      </c>
      <c r="M255" s="297" t="s">
        <v>690</v>
      </c>
      <c r="N255" s="453" t="s">
        <v>691</v>
      </c>
      <c r="O255" s="299" t="s">
        <v>26</v>
      </c>
      <c r="P255" s="293">
        <v>1</v>
      </c>
      <c r="Q255" s="293">
        <v>0.7</v>
      </c>
      <c r="R255" s="337">
        <v>2020003630100</v>
      </c>
      <c r="S255" s="477" t="s">
        <v>692</v>
      </c>
      <c r="T255" s="457"/>
      <c r="U255" s="457"/>
      <c r="V255" s="457"/>
      <c r="W255" s="457"/>
      <c r="X255" s="457"/>
      <c r="Y255" s="457"/>
      <c r="Z255" s="457"/>
      <c r="AA255" s="457"/>
      <c r="AB255" s="457"/>
      <c r="AC255" s="457"/>
      <c r="AD255" s="457"/>
      <c r="AE255" s="457"/>
      <c r="AF255" s="457"/>
      <c r="AG255" s="457"/>
      <c r="AH255" s="457"/>
      <c r="AI255" s="457"/>
      <c r="AJ255" s="457"/>
      <c r="AK255" s="457"/>
      <c r="AL255" s="457">
        <f>130200000-16055500</f>
        <v>114144500</v>
      </c>
      <c r="AM255" s="457">
        <v>114144500</v>
      </c>
      <c r="AN255" s="457">
        <v>114144500</v>
      </c>
      <c r="AO255" s="457"/>
      <c r="AP255" s="457"/>
      <c r="AQ255" s="457"/>
      <c r="AR255" s="457"/>
      <c r="AS255" s="457"/>
      <c r="AT255" s="457"/>
      <c r="AU255" s="457">
        <f t="shared" si="16"/>
        <v>114144500</v>
      </c>
      <c r="AV255" s="457">
        <f t="shared" si="14"/>
        <v>114144500</v>
      </c>
      <c r="AW255" s="457">
        <f t="shared" si="15"/>
        <v>114144500</v>
      </c>
      <c r="AX255" s="475" t="s">
        <v>679</v>
      </c>
    </row>
    <row r="256" spans="1:129" s="459" customFormat="1" ht="76.5" x14ac:dyDescent="0.25">
      <c r="A256" s="292">
        <v>316</v>
      </c>
      <c r="B256" s="454" t="s">
        <v>674</v>
      </c>
      <c r="C256" s="292">
        <v>1</v>
      </c>
      <c r="D256" s="454" t="s">
        <v>105</v>
      </c>
      <c r="E256" s="292">
        <v>1</v>
      </c>
      <c r="F256" s="454" t="s">
        <v>112</v>
      </c>
      <c r="G256" s="292">
        <v>41</v>
      </c>
      <c r="H256" s="454" t="s">
        <v>129</v>
      </c>
      <c r="I256" s="292">
        <v>4102</v>
      </c>
      <c r="J256" s="458" t="s">
        <v>202</v>
      </c>
      <c r="K256" s="297" t="s">
        <v>688</v>
      </c>
      <c r="L256" s="454" t="s">
        <v>693</v>
      </c>
      <c r="M256" s="295">
        <v>410204301</v>
      </c>
      <c r="N256" s="454" t="s">
        <v>694</v>
      </c>
      <c r="O256" s="299" t="s">
        <v>26</v>
      </c>
      <c r="P256" s="293">
        <v>1</v>
      </c>
      <c r="Q256" s="293">
        <v>0.6</v>
      </c>
      <c r="R256" s="337">
        <v>2020003630101</v>
      </c>
      <c r="S256" s="477" t="s">
        <v>695</v>
      </c>
      <c r="T256" s="457"/>
      <c r="U256" s="457"/>
      <c r="V256" s="457"/>
      <c r="W256" s="457"/>
      <c r="X256" s="457"/>
      <c r="Y256" s="457"/>
      <c r="Z256" s="457"/>
      <c r="AA256" s="457"/>
      <c r="AB256" s="457"/>
      <c r="AC256" s="457"/>
      <c r="AD256" s="457"/>
      <c r="AE256" s="457"/>
      <c r="AF256" s="457"/>
      <c r="AG256" s="457"/>
      <c r="AH256" s="457"/>
      <c r="AI256" s="457"/>
      <c r="AJ256" s="457"/>
      <c r="AK256" s="457"/>
      <c r="AL256" s="457">
        <f>280000000+50000000+50000000-90770500</f>
        <v>289229500</v>
      </c>
      <c r="AM256" s="457">
        <v>289229500</v>
      </c>
      <c r="AN256" s="457">
        <v>287450499.96000004</v>
      </c>
      <c r="AO256" s="457"/>
      <c r="AP256" s="457"/>
      <c r="AQ256" s="457"/>
      <c r="AR256" s="457"/>
      <c r="AS256" s="457"/>
      <c r="AT256" s="457"/>
      <c r="AU256" s="457">
        <f t="shared" si="16"/>
        <v>289229500</v>
      </c>
      <c r="AV256" s="457">
        <f t="shared" si="14"/>
        <v>289229500</v>
      </c>
      <c r="AW256" s="457">
        <f t="shared" si="15"/>
        <v>287450499.96000004</v>
      </c>
      <c r="AX256" s="475" t="s">
        <v>679</v>
      </c>
    </row>
    <row r="257" spans="1:129" s="459" customFormat="1" ht="102" x14ac:dyDescent="0.25">
      <c r="A257" s="292">
        <v>316</v>
      </c>
      <c r="B257" s="454" t="s">
        <v>674</v>
      </c>
      <c r="C257" s="292">
        <v>1</v>
      </c>
      <c r="D257" s="454" t="s">
        <v>105</v>
      </c>
      <c r="E257" s="292">
        <v>1</v>
      </c>
      <c r="F257" s="454" t="s">
        <v>112</v>
      </c>
      <c r="G257" s="292">
        <v>41</v>
      </c>
      <c r="H257" s="454" t="s">
        <v>129</v>
      </c>
      <c r="I257" s="292">
        <v>4102</v>
      </c>
      <c r="J257" s="454" t="s">
        <v>202</v>
      </c>
      <c r="K257" s="295">
        <v>4102038</v>
      </c>
      <c r="L257" s="454" t="s">
        <v>696</v>
      </c>
      <c r="M257" s="295">
        <v>410203800</v>
      </c>
      <c r="N257" s="454" t="s">
        <v>697</v>
      </c>
      <c r="O257" s="299" t="s">
        <v>26</v>
      </c>
      <c r="P257" s="293">
        <v>1</v>
      </c>
      <c r="Q257" s="293">
        <v>0.7</v>
      </c>
      <c r="R257" s="337">
        <v>2020003630102</v>
      </c>
      <c r="S257" s="458" t="s">
        <v>698</v>
      </c>
      <c r="T257" s="457"/>
      <c r="U257" s="457"/>
      <c r="V257" s="457"/>
      <c r="W257" s="457"/>
      <c r="X257" s="457"/>
      <c r="Y257" s="457"/>
      <c r="Z257" s="457"/>
      <c r="AA257" s="457"/>
      <c r="AB257" s="457"/>
      <c r="AC257" s="457"/>
      <c r="AD257" s="457"/>
      <c r="AE257" s="457"/>
      <c r="AF257" s="457"/>
      <c r="AG257" s="457"/>
      <c r="AH257" s="457"/>
      <c r="AI257" s="457"/>
      <c r="AJ257" s="457"/>
      <c r="AK257" s="457"/>
      <c r="AL257" s="457">
        <f>180000000+30000000-35764500</f>
        <v>174235500</v>
      </c>
      <c r="AM257" s="457">
        <v>174235500</v>
      </c>
      <c r="AN257" s="457">
        <v>167970497.99000001</v>
      </c>
      <c r="AO257" s="457"/>
      <c r="AP257" s="457"/>
      <c r="AQ257" s="457"/>
      <c r="AR257" s="457"/>
      <c r="AS257" s="457"/>
      <c r="AT257" s="457"/>
      <c r="AU257" s="457">
        <f t="shared" si="16"/>
        <v>174235500</v>
      </c>
      <c r="AV257" s="457">
        <f t="shared" si="14"/>
        <v>174235500</v>
      </c>
      <c r="AW257" s="457">
        <f t="shared" si="15"/>
        <v>167970497.99000001</v>
      </c>
      <c r="AX257" s="475" t="s">
        <v>679</v>
      </c>
    </row>
    <row r="258" spans="1:129" s="459" customFormat="1" ht="127.5" x14ac:dyDescent="0.25">
      <c r="A258" s="292">
        <v>316</v>
      </c>
      <c r="B258" s="454" t="s">
        <v>674</v>
      </c>
      <c r="C258" s="292">
        <v>1</v>
      </c>
      <c r="D258" s="454" t="s">
        <v>105</v>
      </c>
      <c r="E258" s="292">
        <v>1</v>
      </c>
      <c r="F258" s="454" t="s">
        <v>112</v>
      </c>
      <c r="G258" s="292">
        <v>41</v>
      </c>
      <c r="H258" s="454" t="s">
        <v>129</v>
      </c>
      <c r="I258" s="292">
        <v>4102</v>
      </c>
      <c r="J258" s="454" t="s">
        <v>202</v>
      </c>
      <c r="K258" s="295">
        <v>4102042</v>
      </c>
      <c r="L258" s="454" t="s">
        <v>699</v>
      </c>
      <c r="M258" s="295">
        <v>410204200</v>
      </c>
      <c r="N258" s="453" t="s">
        <v>700</v>
      </c>
      <c r="O258" s="299" t="s">
        <v>26</v>
      </c>
      <c r="P258" s="293">
        <v>12</v>
      </c>
      <c r="Q258" s="293">
        <v>9</v>
      </c>
      <c r="R258" s="469">
        <v>2021003630010</v>
      </c>
      <c r="S258" s="477" t="s">
        <v>701</v>
      </c>
      <c r="T258" s="457"/>
      <c r="U258" s="457"/>
      <c r="V258" s="457"/>
      <c r="W258" s="457"/>
      <c r="X258" s="457"/>
      <c r="Y258" s="457"/>
      <c r="Z258" s="457"/>
      <c r="AA258" s="457"/>
      <c r="AB258" s="457"/>
      <c r="AC258" s="457"/>
      <c r="AD258" s="457"/>
      <c r="AE258" s="457"/>
      <c r="AF258" s="457"/>
      <c r="AG258" s="457"/>
      <c r="AH258" s="457"/>
      <c r="AI258" s="457"/>
      <c r="AJ258" s="457"/>
      <c r="AK258" s="457"/>
      <c r="AL258" s="457">
        <f>35000000-3500000</f>
        <v>31500000</v>
      </c>
      <c r="AM258" s="457">
        <v>31500000</v>
      </c>
      <c r="AN258" s="457">
        <v>31500000</v>
      </c>
      <c r="AO258" s="457"/>
      <c r="AP258" s="457"/>
      <c r="AQ258" s="457"/>
      <c r="AR258" s="457"/>
      <c r="AS258" s="457"/>
      <c r="AT258" s="457"/>
      <c r="AU258" s="457">
        <f t="shared" si="16"/>
        <v>31500000</v>
      </c>
      <c r="AV258" s="457">
        <f t="shared" si="14"/>
        <v>31500000</v>
      </c>
      <c r="AW258" s="457">
        <f t="shared" si="15"/>
        <v>31500000</v>
      </c>
      <c r="AX258" s="475" t="s">
        <v>679</v>
      </c>
    </row>
    <row r="259" spans="1:129" s="332" customFormat="1" ht="127.5" x14ac:dyDescent="0.25">
      <c r="A259" s="259">
        <v>316</v>
      </c>
      <c r="B259" s="325" t="s">
        <v>674</v>
      </c>
      <c r="C259" s="259"/>
      <c r="D259" s="325"/>
      <c r="E259" s="259">
        <v>1</v>
      </c>
      <c r="F259" s="325" t="s">
        <v>112</v>
      </c>
      <c r="G259" s="282" t="s">
        <v>200</v>
      </c>
      <c r="H259" s="435" t="s">
        <v>129</v>
      </c>
      <c r="I259" s="282" t="s">
        <v>201</v>
      </c>
      <c r="J259" s="385" t="s">
        <v>702</v>
      </c>
      <c r="K259" s="279">
        <v>4102042</v>
      </c>
      <c r="L259" s="325" t="s">
        <v>699</v>
      </c>
      <c r="M259" s="279">
        <v>410204200</v>
      </c>
      <c r="N259" s="333" t="s">
        <v>700</v>
      </c>
      <c r="O259" s="272" t="s">
        <v>26</v>
      </c>
      <c r="P259" s="264">
        <v>12</v>
      </c>
      <c r="Q259" s="264">
        <v>11</v>
      </c>
      <c r="R259" s="471">
        <v>2024003630044</v>
      </c>
      <c r="S259" s="464" t="s">
        <v>703</v>
      </c>
      <c r="T259" s="328"/>
      <c r="U259" s="328"/>
      <c r="V259" s="328"/>
      <c r="W259" s="328"/>
      <c r="X259" s="328"/>
      <c r="Y259" s="328"/>
      <c r="Z259" s="328"/>
      <c r="AA259" s="328"/>
      <c r="AB259" s="328"/>
      <c r="AC259" s="328"/>
      <c r="AD259" s="328"/>
      <c r="AE259" s="328"/>
      <c r="AF259" s="328"/>
      <c r="AG259" s="328"/>
      <c r="AH259" s="328"/>
      <c r="AI259" s="328"/>
      <c r="AJ259" s="328"/>
      <c r="AK259" s="328"/>
      <c r="AL259" s="328">
        <v>40000000</v>
      </c>
      <c r="AM259" s="328">
        <v>36570000</v>
      </c>
      <c r="AN259" s="328">
        <v>23100000</v>
      </c>
      <c r="AO259" s="328"/>
      <c r="AP259" s="328"/>
      <c r="AQ259" s="328"/>
      <c r="AR259" s="328"/>
      <c r="AS259" s="328"/>
      <c r="AT259" s="328"/>
      <c r="AU259" s="328">
        <f t="shared" si="16"/>
        <v>40000000</v>
      </c>
      <c r="AV259" s="328">
        <f t="shared" si="14"/>
        <v>36570000</v>
      </c>
      <c r="AW259" s="328">
        <f t="shared" si="15"/>
        <v>23100000</v>
      </c>
      <c r="AX259" s="330" t="s">
        <v>679</v>
      </c>
      <c r="AY259" s="331"/>
      <c r="AZ259" s="331"/>
      <c r="BA259" s="331"/>
      <c r="BB259" s="331"/>
      <c r="BC259" s="331"/>
      <c r="BD259" s="331"/>
      <c r="BE259" s="331"/>
      <c r="BF259" s="331"/>
      <c r="BG259" s="331"/>
      <c r="BH259" s="331"/>
      <c r="BI259" s="331"/>
      <c r="BJ259" s="331"/>
      <c r="BK259" s="331"/>
      <c r="BL259" s="331"/>
      <c r="BM259" s="331"/>
      <c r="BN259" s="331"/>
      <c r="BO259" s="331"/>
      <c r="BP259" s="331"/>
      <c r="BQ259" s="331"/>
      <c r="BR259" s="331"/>
      <c r="BS259" s="331"/>
      <c r="BT259" s="331"/>
      <c r="BU259" s="331"/>
      <c r="BV259" s="331"/>
      <c r="BW259" s="331"/>
      <c r="BX259" s="331"/>
      <c r="BY259" s="331"/>
      <c r="BZ259" s="331"/>
      <c r="CA259" s="331"/>
      <c r="CB259" s="331"/>
      <c r="CC259" s="331"/>
      <c r="CD259" s="331"/>
      <c r="CE259" s="331"/>
      <c r="CF259" s="331"/>
      <c r="CG259" s="331"/>
      <c r="CH259" s="331"/>
      <c r="CI259" s="331"/>
      <c r="CJ259" s="331"/>
      <c r="CK259" s="331"/>
      <c r="CL259" s="331"/>
      <c r="CM259" s="331"/>
      <c r="CN259" s="331"/>
      <c r="CO259" s="331"/>
      <c r="CP259" s="331"/>
      <c r="CQ259" s="331"/>
      <c r="CR259" s="331"/>
      <c r="CS259" s="331"/>
      <c r="CT259" s="331"/>
      <c r="CU259" s="331"/>
      <c r="CV259" s="331"/>
      <c r="CW259" s="331"/>
      <c r="CX259" s="331"/>
      <c r="CY259" s="331"/>
      <c r="CZ259" s="331"/>
      <c r="DA259" s="331"/>
      <c r="DB259" s="331"/>
      <c r="DC259" s="331"/>
      <c r="DD259" s="331"/>
      <c r="DE259" s="331"/>
      <c r="DF259" s="331"/>
      <c r="DG259" s="331"/>
      <c r="DH259" s="331"/>
      <c r="DI259" s="331"/>
      <c r="DJ259" s="331"/>
      <c r="DK259" s="331"/>
      <c r="DL259" s="331"/>
      <c r="DM259" s="331"/>
      <c r="DN259" s="331"/>
      <c r="DO259" s="331"/>
      <c r="DP259" s="331"/>
      <c r="DQ259" s="331"/>
      <c r="DR259" s="331"/>
      <c r="DS259" s="331"/>
      <c r="DT259" s="331"/>
      <c r="DU259" s="331"/>
      <c r="DV259" s="331"/>
      <c r="DW259" s="331"/>
      <c r="DX259" s="331"/>
      <c r="DY259" s="331"/>
    </row>
    <row r="260" spans="1:129" s="332" customFormat="1" ht="76.5" x14ac:dyDescent="0.25">
      <c r="A260" s="259">
        <v>316</v>
      </c>
      <c r="B260" s="325" t="s">
        <v>674</v>
      </c>
      <c r="C260" s="259"/>
      <c r="D260" s="325"/>
      <c r="E260" s="259">
        <v>1</v>
      </c>
      <c r="F260" s="325" t="s">
        <v>112</v>
      </c>
      <c r="G260" s="282" t="s">
        <v>200</v>
      </c>
      <c r="H260" s="435" t="s">
        <v>129</v>
      </c>
      <c r="I260" s="282" t="s">
        <v>201</v>
      </c>
      <c r="J260" s="385" t="s">
        <v>202</v>
      </c>
      <c r="K260" s="282" t="s">
        <v>688</v>
      </c>
      <c r="L260" s="385" t="s">
        <v>693</v>
      </c>
      <c r="M260" s="279">
        <v>410204300</v>
      </c>
      <c r="N260" s="333" t="s">
        <v>691</v>
      </c>
      <c r="O260" s="272" t="s">
        <v>67</v>
      </c>
      <c r="P260" s="264">
        <v>200</v>
      </c>
      <c r="Q260" s="264">
        <v>140</v>
      </c>
      <c r="R260" s="471">
        <v>2024003630044</v>
      </c>
      <c r="S260" s="464" t="s">
        <v>703</v>
      </c>
      <c r="T260" s="328"/>
      <c r="U260" s="328"/>
      <c r="V260" s="328"/>
      <c r="W260" s="328"/>
      <c r="X260" s="328"/>
      <c r="Y260" s="328"/>
      <c r="Z260" s="328"/>
      <c r="AA260" s="328"/>
      <c r="AB260" s="328"/>
      <c r="AC260" s="328"/>
      <c r="AD260" s="328"/>
      <c r="AE260" s="328"/>
      <c r="AF260" s="328"/>
      <c r="AG260" s="328"/>
      <c r="AH260" s="328"/>
      <c r="AI260" s="328"/>
      <c r="AJ260" s="328"/>
      <c r="AK260" s="328"/>
      <c r="AL260" s="328">
        <v>106390500</v>
      </c>
      <c r="AM260" s="328">
        <v>101010001</v>
      </c>
      <c r="AN260" s="328">
        <v>56256433</v>
      </c>
      <c r="AO260" s="328"/>
      <c r="AP260" s="328"/>
      <c r="AQ260" s="328"/>
      <c r="AR260" s="328"/>
      <c r="AS260" s="328"/>
      <c r="AT260" s="328"/>
      <c r="AU260" s="328">
        <f t="shared" si="16"/>
        <v>106390500</v>
      </c>
      <c r="AV260" s="328">
        <f t="shared" si="14"/>
        <v>101010001</v>
      </c>
      <c r="AW260" s="328">
        <f t="shared" si="15"/>
        <v>56256433</v>
      </c>
      <c r="AX260" s="330" t="s">
        <v>679</v>
      </c>
      <c r="AY260" s="331"/>
      <c r="AZ260" s="331"/>
      <c r="BA260" s="331"/>
      <c r="BB260" s="331"/>
      <c r="BC260" s="331"/>
      <c r="BD260" s="331"/>
      <c r="BE260" s="331"/>
      <c r="BF260" s="331"/>
      <c r="BG260" s="331"/>
      <c r="BH260" s="331"/>
      <c r="BI260" s="331"/>
      <c r="BJ260" s="331"/>
      <c r="BK260" s="331"/>
      <c r="BL260" s="331"/>
      <c r="BM260" s="331"/>
      <c r="BN260" s="331"/>
      <c r="BO260" s="331"/>
      <c r="BP260" s="331"/>
      <c r="BQ260" s="331"/>
      <c r="BR260" s="331"/>
      <c r="BS260" s="331"/>
      <c r="BT260" s="331"/>
      <c r="BU260" s="331"/>
      <c r="BV260" s="331"/>
      <c r="BW260" s="331"/>
      <c r="BX260" s="331"/>
      <c r="BY260" s="331"/>
      <c r="BZ260" s="331"/>
      <c r="CA260" s="331"/>
      <c r="CB260" s="331"/>
      <c r="CC260" s="331"/>
      <c r="CD260" s="331"/>
      <c r="CE260" s="331"/>
      <c r="CF260" s="331"/>
      <c r="CG260" s="331"/>
      <c r="CH260" s="331"/>
      <c r="CI260" s="331"/>
      <c r="CJ260" s="331"/>
      <c r="CK260" s="331"/>
      <c r="CL260" s="331"/>
      <c r="CM260" s="331"/>
      <c r="CN260" s="331"/>
      <c r="CO260" s="331"/>
      <c r="CP260" s="331"/>
      <c r="CQ260" s="331"/>
      <c r="CR260" s="331"/>
      <c r="CS260" s="331"/>
      <c r="CT260" s="331"/>
      <c r="CU260" s="331"/>
      <c r="CV260" s="331"/>
      <c r="CW260" s="331"/>
      <c r="CX260" s="331"/>
      <c r="CY260" s="331"/>
      <c r="CZ260" s="331"/>
      <c r="DA260" s="331"/>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row>
    <row r="261" spans="1:129" s="332" customFormat="1" ht="76.5" x14ac:dyDescent="0.25">
      <c r="A261" s="259">
        <v>316</v>
      </c>
      <c r="B261" s="325" t="s">
        <v>674</v>
      </c>
      <c r="C261" s="259"/>
      <c r="D261" s="325"/>
      <c r="E261" s="259">
        <v>1</v>
      </c>
      <c r="F261" s="325" t="s">
        <v>112</v>
      </c>
      <c r="G261" s="282" t="s">
        <v>200</v>
      </c>
      <c r="H261" s="435" t="s">
        <v>129</v>
      </c>
      <c r="I261" s="282" t="s">
        <v>201</v>
      </c>
      <c r="J261" s="385" t="s">
        <v>202</v>
      </c>
      <c r="K261" s="279">
        <v>4102001</v>
      </c>
      <c r="L261" s="325" t="s">
        <v>704</v>
      </c>
      <c r="M261" s="279">
        <v>410200100</v>
      </c>
      <c r="N261" s="333" t="s">
        <v>705</v>
      </c>
      <c r="O261" s="272" t="s">
        <v>26</v>
      </c>
      <c r="P261" s="264">
        <v>75</v>
      </c>
      <c r="Q261" s="264">
        <v>75</v>
      </c>
      <c r="R261" s="271">
        <v>2024003630106</v>
      </c>
      <c r="S261" s="464" t="s">
        <v>706</v>
      </c>
      <c r="T261" s="328"/>
      <c r="U261" s="328"/>
      <c r="V261" s="328"/>
      <c r="W261" s="328"/>
      <c r="X261" s="328"/>
      <c r="Y261" s="328"/>
      <c r="Z261" s="328"/>
      <c r="AA261" s="328"/>
      <c r="AB261" s="328"/>
      <c r="AC261" s="328"/>
      <c r="AD261" s="328"/>
      <c r="AE261" s="328"/>
      <c r="AF261" s="328"/>
      <c r="AG261" s="328"/>
      <c r="AH261" s="328"/>
      <c r="AI261" s="328"/>
      <c r="AJ261" s="328"/>
      <c r="AK261" s="328"/>
      <c r="AL261" s="328">
        <v>102000000</v>
      </c>
      <c r="AM261" s="328">
        <v>90450000</v>
      </c>
      <c r="AN261" s="328">
        <v>62300000</v>
      </c>
      <c r="AO261" s="343"/>
      <c r="AP261" s="343"/>
      <c r="AQ261" s="343"/>
      <c r="AR261" s="343"/>
      <c r="AS261" s="343"/>
      <c r="AT261" s="343"/>
      <c r="AU261" s="328">
        <f t="shared" si="16"/>
        <v>102000000</v>
      </c>
      <c r="AV261" s="328">
        <f t="shared" si="14"/>
        <v>90450000</v>
      </c>
      <c r="AW261" s="328">
        <f t="shared" si="15"/>
        <v>62300000</v>
      </c>
      <c r="AX261" s="330" t="s">
        <v>679</v>
      </c>
      <c r="AY261" s="331"/>
      <c r="AZ261" s="331"/>
      <c r="BA261" s="331"/>
      <c r="BB261" s="331"/>
      <c r="BC261" s="331"/>
      <c r="BD261" s="331"/>
      <c r="BE261" s="331"/>
      <c r="BF261" s="331"/>
      <c r="BG261" s="331"/>
      <c r="BH261" s="331"/>
      <c r="BI261" s="331"/>
      <c r="BJ261" s="331"/>
      <c r="BK261" s="331"/>
      <c r="BL261" s="331"/>
      <c r="BM261" s="331"/>
      <c r="BN261" s="331"/>
      <c r="BO261" s="331"/>
      <c r="BP261" s="331"/>
      <c r="BQ261" s="331"/>
      <c r="BR261" s="331"/>
      <c r="BS261" s="331"/>
      <c r="BT261" s="331"/>
      <c r="BU261" s="331"/>
      <c r="BV261" s="331"/>
      <c r="BW261" s="331"/>
      <c r="BX261" s="331"/>
      <c r="BY261" s="331"/>
      <c r="BZ261" s="331"/>
      <c r="CA261" s="331"/>
      <c r="CB261" s="331"/>
      <c r="CC261" s="331"/>
      <c r="CD261" s="331"/>
      <c r="CE261" s="331"/>
      <c r="CF261" s="331"/>
      <c r="CG261" s="331"/>
      <c r="CH261" s="331"/>
      <c r="CI261" s="331"/>
      <c r="CJ261" s="331"/>
      <c r="CK261" s="331"/>
      <c r="CL261" s="331"/>
      <c r="CM261" s="331"/>
      <c r="CN261" s="331"/>
      <c r="CO261" s="331"/>
      <c r="CP261" s="331"/>
      <c r="CQ261" s="331"/>
      <c r="CR261" s="331"/>
      <c r="CS261" s="331"/>
      <c r="CT261" s="331"/>
      <c r="CU261" s="331"/>
      <c r="CV261" s="331"/>
      <c r="CW261" s="331"/>
      <c r="CX261" s="331"/>
      <c r="CY261" s="331"/>
      <c r="CZ261" s="331"/>
      <c r="DA261" s="331"/>
      <c r="DB261" s="331"/>
      <c r="DC261" s="331"/>
      <c r="DD261" s="331"/>
      <c r="DE261" s="331"/>
      <c r="DF261" s="331"/>
      <c r="DG261" s="331"/>
      <c r="DH261" s="331"/>
      <c r="DI261" s="331"/>
      <c r="DJ261" s="331"/>
      <c r="DK261" s="331"/>
      <c r="DL261" s="331"/>
      <c r="DM261" s="331"/>
      <c r="DN261" s="331"/>
      <c r="DO261" s="331"/>
      <c r="DP261" s="331"/>
      <c r="DQ261" s="331"/>
      <c r="DR261" s="331"/>
      <c r="DS261" s="331"/>
      <c r="DT261" s="331"/>
      <c r="DU261" s="331"/>
      <c r="DV261" s="331"/>
      <c r="DW261" s="331"/>
      <c r="DX261" s="331"/>
      <c r="DY261" s="331"/>
    </row>
    <row r="262" spans="1:129" s="332" customFormat="1" ht="76.5" x14ac:dyDescent="0.25">
      <c r="A262" s="259">
        <v>316</v>
      </c>
      <c r="B262" s="325" t="s">
        <v>674</v>
      </c>
      <c r="C262" s="259"/>
      <c r="D262" s="325"/>
      <c r="E262" s="259">
        <v>1</v>
      </c>
      <c r="F262" s="325" t="s">
        <v>112</v>
      </c>
      <c r="G262" s="282" t="s">
        <v>200</v>
      </c>
      <c r="H262" s="435" t="s">
        <v>129</v>
      </c>
      <c r="I262" s="282" t="s">
        <v>201</v>
      </c>
      <c r="J262" s="385" t="s">
        <v>202</v>
      </c>
      <c r="K262" s="279" t="s">
        <v>707</v>
      </c>
      <c r="L262" s="325" t="s">
        <v>708</v>
      </c>
      <c r="M262" s="279">
        <v>410200600</v>
      </c>
      <c r="N262" s="325" t="s">
        <v>709</v>
      </c>
      <c r="O262" s="272" t="s">
        <v>67</v>
      </c>
      <c r="P262" s="264">
        <v>2</v>
      </c>
      <c r="Q262" s="264">
        <v>0</v>
      </c>
      <c r="R262" s="271">
        <v>2024003630106</v>
      </c>
      <c r="S262" s="464" t="s">
        <v>706</v>
      </c>
      <c r="T262" s="328"/>
      <c r="U262" s="328"/>
      <c r="V262" s="328"/>
      <c r="W262" s="328"/>
      <c r="X262" s="328"/>
      <c r="Y262" s="328"/>
      <c r="Z262" s="328"/>
      <c r="AA262" s="328"/>
      <c r="AB262" s="328"/>
      <c r="AC262" s="328"/>
      <c r="AD262" s="328"/>
      <c r="AE262" s="328"/>
      <c r="AF262" s="328"/>
      <c r="AG262" s="328"/>
      <c r="AH262" s="328"/>
      <c r="AI262" s="328"/>
      <c r="AJ262" s="328"/>
      <c r="AK262" s="328"/>
      <c r="AL262" s="328">
        <v>5000000</v>
      </c>
      <c r="AM262" s="328">
        <v>4974438</v>
      </c>
      <c r="AN262" s="328"/>
      <c r="AO262" s="343"/>
      <c r="AP262" s="343"/>
      <c r="AQ262" s="343"/>
      <c r="AR262" s="343"/>
      <c r="AS262" s="343"/>
      <c r="AT262" s="343"/>
      <c r="AU262" s="328">
        <f t="shared" si="16"/>
        <v>5000000</v>
      </c>
      <c r="AV262" s="328">
        <f t="shared" si="14"/>
        <v>4974438</v>
      </c>
      <c r="AW262" s="328">
        <f t="shared" si="15"/>
        <v>0</v>
      </c>
      <c r="AX262" s="330" t="s">
        <v>679</v>
      </c>
      <c r="AY262" s="331"/>
      <c r="AZ262" s="331"/>
      <c r="BA262" s="331"/>
      <c r="BB262" s="331"/>
      <c r="BC262" s="331"/>
      <c r="BD262" s="331"/>
      <c r="BE262" s="331"/>
      <c r="BF262" s="331"/>
      <c r="BG262" s="331"/>
      <c r="BH262" s="331"/>
      <c r="BI262" s="331"/>
      <c r="BJ262" s="331"/>
      <c r="BK262" s="331"/>
      <c r="BL262" s="331"/>
      <c r="BM262" s="331"/>
      <c r="BN262" s="331"/>
      <c r="BO262" s="331"/>
      <c r="BP262" s="331"/>
      <c r="BQ262" s="331"/>
      <c r="BR262" s="331"/>
      <c r="BS262" s="331"/>
      <c r="BT262" s="331"/>
      <c r="BU262" s="331"/>
      <c r="BV262" s="331"/>
      <c r="BW262" s="331"/>
      <c r="BX262" s="331"/>
      <c r="BY262" s="331"/>
      <c r="BZ262" s="331"/>
      <c r="CA262" s="331"/>
      <c r="CB262" s="331"/>
      <c r="CC262" s="331"/>
      <c r="CD262" s="331"/>
      <c r="CE262" s="331"/>
      <c r="CF262" s="331"/>
      <c r="CG262" s="331"/>
      <c r="CH262" s="331"/>
      <c r="CI262" s="331"/>
      <c r="CJ262" s="331"/>
      <c r="CK262" s="331"/>
      <c r="CL262" s="331"/>
      <c r="CM262" s="331"/>
      <c r="CN262" s="331"/>
      <c r="CO262" s="331"/>
      <c r="CP262" s="331"/>
      <c r="CQ262" s="331"/>
      <c r="CR262" s="331"/>
      <c r="CS262" s="331"/>
      <c r="CT262" s="331"/>
      <c r="CU262" s="331"/>
      <c r="CV262" s="331"/>
      <c r="CW262" s="331"/>
      <c r="CX262" s="331"/>
      <c r="CY262" s="331"/>
      <c r="CZ262" s="331"/>
      <c r="DA262" s="331"/>
      <c r="DB262" s="331"/>
      <c r="DC262" s="331"/>
      <c r="DD262" s="331"/>
      <c r="DE262" s="331"/>
      <c r="DF262" s="331"/>
      <c r="DG262" s="331"/>
      <c r="DH262" s="331"/>
      <c r="DI262" s="331"/>
      <c r="DJ262" s="331"/>
      <c r="DK262" s="331"/>
      <c r="DL262" s="331"/>
      <c r="DM262" s="331"/>
      <c r="DN262" s="331"/>
      <c r="DO262" s="331"/>
      <c r="DP262" s="331"/>
      <c r="DQ262" s="331"/>
      <c r="DR262" s="331"/>
      <c r="DS262" s="331"/>
      <c r="DT262" s="331"/>
      <c r="DU262" s="331"/>
      <c r="DV262" s="331"/>
      <c r="DW262" s="331"/>
      <c r="DX262" s="331"/>
      <c r="DY262" s="331"/>
    </row>
    <row r="263" spans="1:129" s="332" customFormat="1" ht="76.5" x14ac:dyDescent="0.25">
      <c r="A263" s="259">
        <v>316</v>
      </c>
      <c r="B263" s="325" t="s">
        <v>674</v>
      </c>
      <c r="C263" s="259"/>
      <c r="D263" s="325"/>
      <c r="E263" s="259">
        <v>1</v>
      </c>
      <c r="F263" s="325" t="s">
        <v>112</v>
      </c>
      <c r="G263" s="282" t="s">
        <v>200</v>
      </c>
      <c r="H263" s="435" t="s">
        <v>129</v>
      </c>
      <c r="I263" s="282" t="s">
        <v>201</v>
      </c>
      <c r="J263" s="385" t="s">
        <v>202</v>
      </c>
      <c r="K263" s="279">
        <v>4102043</v>
      </c>
      <c r="L263" s="325" t="s">
        <v>693</v>
      </c>
      <c r="M263" s="279">
        <v>410204301</v>
      </c>
      <c r="N263" s="325" t="s">
        <v>694</v>
      </c>
      <c r="O263" s="272" t="s">
        <v>67</v>
      </c>
      <c r="P263" s="303">
        <v>5000</v>
      </c>
      <c r="Q263" s="303">
        <v>3750</v>
      </c>
      <c r="R263" s="271">
        <v>2024003630106</v>
      </c>
      <c r="S263" s="464" t="s">
        <v>706</v>
      </c>
      <c r="T263" s="328"/>
      <c r="U263" s="328"/>
      <c r="V263" s="328"/>
      <c r="W263" s="328"/>
      <c r="X263" s="328"/>
      <c r="Y263" s="328"/>
      <c r="Z263" s="328"/>
      <c r="AA263" s="328"/>
      <c r="AB263" s="328"/>
      <c r="AC263" s="328"/>
      <c r="AD263" s="328"/>
      <c r="AE263" s="328"/>
      <c r="AF263" s="328"/>
      <c r="AG263" s="328"/>
      <c r="AH263" s="328"/>
      <c r="AI263" s="328"/>
      <c r="AJ263" s="328"/>
      <c r="AK263" s="328"/>
      <c r="AL263" s="328">
        <v>913270500</v>
      </c>
      <c r="AM263" s="328">
        <v>145716665</v>
      </c>
      <c r="AN263" s="328">
        <v>39300000</v>
      </c>
      <c r="AO263" s="343"/>
      <c r="AP263" s="343"/>
      <c r="AQ263" s="343"/>
      <c r="AR263" s="343"/>
      <c r="AS263" s="343"/>
      <c r="AT263" s="343"/>
      <c r="AU263" s="328">
        <f t="shared" si="16"/>
        <v>913270500</v>
      </c>
      <c r="AV263" s="328">
        <f t="shared" si="14"/>
        <v>145716665</v>
      </c>
      <c r="AW263" s="328">
        <f t="shared" si="15"/>
        <v>39300000</v>
      </c>
      <c r="AX263" s="330" t="s">
        <v>679</v>
      </c>
      <c r="AY263" s="331"/>
      <c r="AZ263" s="331"/>
      <c r="BA263" s="331"/>
      <c r="BB263" s="331"/>
      <c r="BC263" s="331"/>
      <c r="BD263" s="331"/>
      <c r="BE263" s="331"/>
      <c r="BF263" s="331"/>
      <c r="BG263" s="331"/>
      <c r="BH263" s="331"/>
      <c r="BI263" s="331"/>
      <c r="BJ263" s="331"/>
      <c r="BK263" s="331"/>
      <c r="BL263" s="331"/>
      <c r="BM263" s="331"/>
      <c r="BN263" s="331"/>
      <c r="BO263" s="331"/>
      <c r="BP263" s="331"/>
      <c r="BQ263" s="331"/>
      <c r="BR263" s="331"/>
      <c r="BS263" s="331"/>
      <c r="BT263" s="331"/>
      <c r="BU263" s="331"/>
      <c r="BV263" s="331"/>
      <c r="BW263" s="331"/>
      <c r="BX263" s="331"/>
      <c r="BY263" s="331"/>
      <c r="BZ263" s="331"/>
      <c r="CA263" s="331"/>
      <c r="CB263" s="331"/>
      <c r="CC263" s="331"/>
      <c r="CD263" s="331"/>
      <c r="CE263" s="331"/>
      <c r="CF263" s="331"/>
      <c r="CG263" s="331"/>
      <c r="CH263" s="331"/>
      <c r="CI263" s="331"/>
      <c r="CJ263" s="331"/>
      <c r="CK263" s="331"/>
      <c r="CL263" s="331"/>
      <c r="CM263" s="331"/>
      <c r="CN263" s="331"/>
      <c r="CO263" s="331"/>
      <c r="CP263" s="331"/>
      <c r="CQ263" s="331"/>
      <c r="CR263" s="331"/>
      <c r="CS263" s="331"/>
      <c r="CT263" s="331"/>
      <c r="CU263" s="331"/>
      <c r="CV263" s="331"/>
      <c r="CW263" s="331"/>
      <c r="CX263" s="331"/>
      <c r="CY263" s="331"/>
      <c r="CZ263" s="331"/>
      <c r="DA263" s="331"/>
      <c r="DB263" s="331"/>
      <c r="DC263" s="331"/>
      <c r="DD263" s="331"/>
      <c r="DE263" s="331"/>
      <c r="DF263" s="331"/>
      <c r="DG263" s="331"/>
      <c r="DH263" s="331"/>
      <c r="DI263" s="331"/>
      <c r="DJ263" s="331"/>
      <c r="DK263" s="331"/>
      <c r="DL263" s="331"/>
      <c r="DM263" s="331"/>
      <c r="DN263" s="331"/>
      <c r="DO263" s="331"/>
      <c r="DP263" s="331"/>
      <c r="DQ263" s="331"/>
      <c r="DR263" s="331"/>
      <c r="DS263" s="331"/>
      <c r="DT263" s="331"/>
      <c r="DU263" s="331"/>
      <c r="DV263" s="331"/>
      <c r="DW263" s="331"/>
      <c r="DX263" s="331"/>
      <c r="DY263" s="331"/>
    </row>
    <row r="264" spans="1:129" s="332" customFormat="1" ht="76.5" x14ac:dyDescent="0.25">
      <c r="A264" s="259">
        <v>316</v>
      </c>
      <c r="B264" s="325" t="s">
        <v>674</v>
      </c>
      <c r="C264" s="259"/>
      <c r="D264" s="325"/>
      <c r="E264" s="259">
        <v>1</v>
      </c>
      <c r="F264" s="325" t="s">
        <v>112</v>
      </c>
      <c r="G264" s="282" t="s">
        <v>200</v>
      </c>
      <c r="H264" s="435" t="s">
        <v>129</v>
      </c>
      <c r="I264" s="282" t="s">
        <v>201</v>
      </c>
      <c r="J264" s="385" t="s">
        <v>202</v>
      </c>
      <c r="K264" s="279">
        <v>4102046</v>
      </c>
      <c r="L264" s="325" t="s">
        <v>710</v>
      </c>
      <c r="M264" s="279">
        <v>410204600</v>
      </c>
      <c r="N264" s="325" t="s">
        <v>711</v>
      </c>
      <c r="O264" s="272" t="s">
        <v>67</v>
      </c>
      <c r="P264" s="264">
        <v>10</v>
      </c>
      <c r="Q264" s="264">
        <v>0</v>
      </c>
      <c r="R264" s="271">
        <v>2024003630106</v>
      </c>
      <c r="S264" s="464" t="s">
        <v>706</v>
      </c>
      <c r="T264" s="328"/>
      <c r="U264" s="328"/>
      <c r="V264" s="328"/>
      <c r="W264" s="328"/>
      <c r="X264" s="328"/>
      <c r="Y264" s="328"/>
      <c r="Z264" s="328"/>
      <c r="AA264" s="328"/>
      <c r="AB264" s="328"/>
      <c r="AC264" s="328"/>
      <c r="AD264" s="328"/>
      <c r="AE264" s="328"/>
      <c r="AF264" s="328"/>
      <c r="AG264" s="328"/>
      <c r="AH264" s="328"/>
      <c r="AI264" s="328"/>
      <c r="AJ264" s="328"/>
      <c r="AK264" s="328"/>
      <c r="AL264" s="328">
        <v>10000000</v>
      </c>
      <c r="AM264" s="328">
        <v>10000000</v>
      </c>
      <c r="AN264" s="328">
        <v>3700000</v>
      </c>
      <c r="AO264" s="343"/>
      <c r="AP264" s="343"/>
      <c r="AQ264" s="343"/>
      <c r="AR264" s="343"/>
      <c r="AS264" s="343"/>
      <c r="AT264" s="343"/>
      <c r="AU264" s="328">
        <f t="shared" si="16"/>
        <v>10000000</v>
      </c>
      <c r="AV264" s="328">
        <f t="shared" si="14"/>
        <v>10000000</v>
      </c>
      <c r="AW264" s="328">
        <f t="shared" si="15"/>
        <v>3700000</v>
      </c>
      <c r="AX264" s="330" t="s">
        <v>679</v>
      </c>
      <c r="AY264" s="331"/>
      <c r="AZ264" s="331"/>
      <c r="BA264" s="331"/>
      <c r="BB264" s="331"/>
      <c r="BC264" s="331"/>
      <c r="BD264" s="331"/>
      <c r="BE264" s="331"/>
      <c r="BF264" s="331"/>
      <c r="BG264" s="331"/>
      <c r="BH264" s="331"/>
      <c r="BI264" s="331"/>
      <c r="BJ264" s="331"/>
      <c r="BK264" s="331"/>
      <c r="BL264" s="331"/>
      <c r="BM264" s="331"/>
      <c r="BN264" s="331"/>
      <c r="BO264" s="331"/>
      <c r="BP264" s="331"/>
      <c r="BQ264" s="331"/>
      <c r="BR264" s="331"/>
      <c r="BS264" s="331"/>
      <c r="BT264" s="331"/>
      <c r="BU264" s="331"/>
      <c r="BV264" s="331"/>
      <c r="BW264" s="331"/>
      <c r="BX264" s="331"/>
      <c r="BY264" s="331"/>
      <c r="BZ264" s="331"/>
      <c r="CA264" s="331"/>
      <c r="CB264" s="331"/>
      <c r="CC264" s="331"/>
      <c r="CD264" s="331"/>
      <c r="CE264" s="331"/>
      <c r="CF264" s="331"/>
      <c r="CG264" s="331"/>
      <c r="CH264" s="331"/>
      <c r="CI264" s="331"/>
      <c r="CJ264" s="331"/>
      <c r="CK264" s="331"/>
      <c r="CL264" s="331"/>
      <c r="CM264" s="331"/>
      <c r="CN264" s="331"/>
      <c r="CO264" s="331"/>
      <c r="CP264" s="331"/>
      <c r="CQ264" s="331"/>
      <c r="CR264" s="331"/>
      <c r="CS264" s="331"/>
      <c r="CT264" s="331"/>
      <c r="CU264" s="331"/>
      <c r="CV264" s="331"/>
      <c r="CW264" s="331"/>
      <c r="CX264" s="331"/>
      <c r="CY264" s="331"/>
      <c r="CZ264" s="331"/>
      <c r="DA264" s="331"/>
      <c r="DB264" s="331"/>
      <c r="DC264" s="331"/>
      <c r="DD264" s="331"/>
      <c r="DE264" s="331"/>
      <c r="DF264" s="331"/>
      <c r="DG264" s="331"/>
      <c r="DH264" s="331"/>
      <c r="DI264" s="331"/>
      <c r="DJ264" s="331"/>
      <c r="DK264" s="331"/>
      <c r="DL264" s="331"/>
      <c r="DM264" s="331"/>
      <c r="DN264" s="331"/>
      <c r="DO264" s="331"/>
      <c r="DP264" s="331"/>
      <c r="DQ264" s="331"/>
      <c r="DR264" s="331"/>
      <c r="DS264" s="331"/>
      <c r="DT264" s="331"/>
      <c r="DU264" s="331"/>
      <c r="DV264" s="331"/>
      <c r="DW264" s="331"/>
      <c r="DX264" s="331"/>
      <c r="DY264" s="331"/>
    </row>
    <row r="265" spans="1:129" s="331" customFormat="1" ht="102" x14ac:dyDescent="0.25">
      <c r="A265" s="257">
        <v>316</v>
      </c>
      <c r="B265" s="376" t="s">
        <v>674</v>
      </c>
      <c r="C265" s="257">
        <v>1</v>
      </c>
      <c r="D265" s="376" t="s">
        <v>105</v>
      </c>
      <c r="E265" s="257">
        <v>1</v>
      </c>
      <c r="F265" s="376" t="s">
        <v>112</v>
      </c>
      <c r="G265" s="257">
        <v>41</v>
      </c>
      <c r="H265" s="376" t="s">
        <v>129</v>
      </c>
      <c r="I265" s="257">
        <v>4102</v>
      </c>
      <c r="J265" s="376" t="s">
        <v>202</v>
      </c>
      <c r="K265" s="257">
        <v>4102038</v>
      </c>
      <c r="L265" s="376" t="s">
        <v>712</v>
      </c>
      <c r="M265" s="280">
        <v>410203800</v>
      </c>
      <c r="N265" s="388" t="s">
        <v>697</v>
      </c>
      <c r="O265" s="280" t="s">
        <v>67</v>
      </c>
      <c r="P265" s="263">
        <v>10</v>
      </c>
      <c r="Q265" s="263">
        <v>8</v>
      </c>
      <c r="R265" s="380">
        <v>2020003630034</v>
      </c>
      <c r="S265" s="376" t="s">
        <v>713</v>
      </c>
      <c r="T265" s="381"/>
      <c r="U265" s="381"/>
      <c r="V265" s="381"/>
      <c r="W265" s="381"/>
      <c r="X265" s="381"/>
      <c r="Y265" s="381"/>
      <c r="Z265" s="381"/>
      <c r="AA265" s="381"/>
      <c r="AB265" s="381"/>
      <c r="AC265" s="381"/>
      <c r="AD265" s="381"/>
      <c r="AE265" s="381"/>
      <c r="AF265" s="381"/>
      <c r="AG265" s="381"/>
      <c r="AH265" s="381"/>
      <c r="AI265" s="381"/>
      <c r="AJ265" s="381"/>
      <c r="AK265" s="381"/>
      <c r="AL265" s="381">
        <f>45000000-5500000</f>
        <v>39500000</v>
      </c>
      <c r="AM265" s="381">
        <v>39500000</v>
      </c>
      <c r="AN265" s="381">
        <v>39500000</v>
      </c>
      <c r="AO265" s="381"/>
      <c r="AP265" s="381"/>
      <c r="AQ265" s="381"/>
      <c r="AR265" s="381"/>
      <c r="AS265" s="381"/>
      <c r="AT265" s="381"/>
      <c r="AU265" s="381">
        <f t="shared" si="16"/>
        <v>39500000</v>
      </c>
      <c r="AV265" s="381">
        <f t="shared" si="14"/>
        <v>39500000</v>
      </c>
      <c r="AW265" s="381">
        <f t="shared" si="15"/>
        <v>39500000</v>
      </c>
      <c r="AX265" s="473" t="s">
        <v>679</v>
      </c>
    </row>
    <row r="266" spans="1:129" s="332" customFormat="1" ht="102" x14ac:dyDescent="0.25">
      <c r="A266" s="259">
        <v>316</v>
      </c>
      <c r="B266" s="325" t="s">
        <v>674</v>
      </c>
      <c r="C266" s="259"/>
      <c r="D266" s="325"/>
      <c r="E266" s="259">
        <v>1</v>
      </c>
      <c r="F266" s="325" t="s">
        <v>112</v>
      </c>
      <c r="G266" s="282" t="s">
        <v>200</v>
      </c>
      <c r="H266" s="435" t="s">
        <v>129</v>
      </c>
      <c r="I266" s="259" t="s">
        <v>201</v>
      </c>
      <c r="J266" s="325" t="s">
        <v>202</v>
      </c>
      <c r="K266" s="282" t="s">
        <v>714</v>
      </c>
      <c r="L266" s="385" t="s">
        <v>696</v>
      </c>
      <c r="M266" s="272">
        <v>410203800</v>
      </c>
      <c r="N266" s="333" t="s">
        <v>715</v>
      </c>
      <c r="O266" s="272" t="s">
        <v>26</v>
      </c>
      <c r="P266" s="264">
        <v>100</v>
      </c>
      <c r="Q266" s="264">
        <v>60</v>
      </c>
      <c r="R266" s="281">
        <v>2024003630045</v>
      </c>
      <c r="S266" s="325" t="s">
        <v>716</v>
      </c>
      <c r="T266" s="328"/>
      <c r="U266" s="328"/>
      <c r="V266" s="328"/>
      <c r="W266" s="328"/>
      <c r="X266" s="328"/>
      <c r="Y266" s="328"/>
      <c r="Z266" s="328"/>
      <c r="AA266" s="328"/>
      <c r="AB266" s="328"/>
      <c r="AC266" s="328"/>
      <c r="AD266" s="328"/>
      <c r="AE266" s="328"/>
      <c r="AF266" s="328"/>
      <c r="AG266" s="328"/>
      <c r="AH266" s="328"/>
      <c r="AI266" s="328"/>
      <c r="AJ266" s="328"/>
      <c r="AK266" s="328"/>
      <c r="AL266" s="328">
        <v>25500000</v>
      </c>
      <c r="AM266" s="328">
        <v>25500000</v>
      </c>
      <c r="AN266" s="328">
        <v>18200000</v>
      </c>
      <c r="AO266" s="328"/>
      <c r="AP266" s="328"/>
      <c r="AQ266" s="328"/>
      <c r="AR266" s="328"/>
      <c r="AS266" s="328"/>
      <c r="AT266" s="328"/>
      <c r="AU266" s="328">
        <f t="shared" si="16"/>
        <v>25500000</v>
      </c>
      <c r="AV266" s="328">
        <f t="shared" si="14"/>
        <v>25500000</v>
      </c>
      <c r="AW266" s="328">
        <f t="shared" si="15"/>
        <v>18200000</v>
      </c>
      <c r="AX266" s="330" t="s">
        <v>679</v>
      </c>
      <c r="AY266" s="331"/>
      <c r="AZ266" s="331"/>
      <c r="BA266" s="331"/>
      <c r="BB266" s="331"/>
      <c r="BC266" s="331"/>
      <c r="BD266" s="331"/>
      <c r="BE266" s="331"/>
      <c r="BF266" s="331"/>
      <c r="BG266" s="331"/>
      <c r="BH266" s="331"/>
      <c r="BI266" s="331"/>
      <c r="BJ266" s="331"/>
      <c r="BK266" s="331"/>
      <c r="BL266" s="331"/>
      <c r="BM266" s="331"/>
      <c r="BN266" s="331"/>
      <c r="BO266" s="331"/>
      <c r="BP266" s="331"/>
      <c r="BQ266" s="331"/>
      <c r="BR266" s="331"/>
      <c r="BS266" s="331"/>
      <c r="BT266" s="331"/>
      <c r="BU266" s="331"/>
      <c r="BV266" s="331"/>
      <c r="BW266" s="331"/>
      <c r="BX266" s="331"/>
      <c r="BY266" s="331"/>
      <c r="BZ266" s="331"/>
      <c r="CA266" s="331"/>
      <c r="CB266" s="331"/>
      <c r="CC266" s="331"/>
      <c r="CD266" s="331"/>
      <c r="CE266" s="331"/>
      <c r="CF266" s="331"/>
      <c r="CG266" s="331"/>
      <c r="CH266" s="331"/>
      <c r="CI266" s="331"/>
      <c r="CJ266" s="331"/>
      <c r="CK266" s="331"/>
      <c r="CL266" s="331"/>
      <c r="CM266" s="331"/>
      <c r="CN266" s="331"/>
      <c r="CO266" s="331"/>
      <c r="CP266" s="331"/>
      <c r="CQ266" s="331"/>
      <c r="CR266" s="331"/>
      <c r="CS266" s="331"/>
      <c r="CT266" s="331"/>
      <c r="CU266" s="331"/>
      <c r="CV266" s="331"/>
      <c r="CW266" s="331"/>
      <c r="CX266" s="331"/>
      <c r="CY266" s="331"/>
      <c r="CZ266" s="331"/>
      <c r="DA266" s="331"/>
      <c r="DB266" s="331"/>
      <c r="DC266" s="331"/>
      <c r="DD266" s="331"/>
      <c r="DE266" s="331"/>
      <c r="DF266" s="331"/>
      <c r="DG266" s="331"/>
      <c r="DH266" s="331"/>
      <c r="DI266" s="331"/>
      <c r="DJ266" s="331"/>
      <c r="DK266" s="331"/>
      <c r="DL266" s="331"/>
      <c r="DM266" s="331"/>
      <c r="DN266" s="331"/>
      <c r="DO266" s="331"/>
      <c r="DP266" s="331"/>
      <c r="DQ266" s="331"/>
      <c r="DR266" s="331"/>
      <c r="DS266" s="331"/>
      <c r="DT266" s="331"/>
      <c r="DU266" s="331"/>
      <c r="DV266" s="331"/>
      <c r="DW266" s="331"/>
      <c r="DX266" s="331"/>
      <c r="DY266" s="331"/>
    </row>
    <row r="267" spans="1:129" s="332" customFormat="1" ht="76.5" x14ac:dyDescent="0.25">
      <c r="A267" s="259">
        <v>316</v>
      </c>
      <c r="B267" s="325" t="s">
        <v>674</v>
      </c>
      <c r="C267" s="259"/>
      <c r="D267" s="325"/>
      <c r="E267" s="259">
        <v>1</v>
      </c>
      <c r="F267" s="325" t="s">
        <v>112</v>
      </c>
      <c r="G267" s="282" t="s">
        <v>200</v>
      </c>
      <c r="H267" s="435" t="s">
        <v>129</v>
      </c>
      <c r="I267" s="259" t="s">
        <v>201</v>
      </c>
      <c r="J267" s="325" t="s">
        <v>202</v>
      </c>
      <c r="K267" s="282" t="s">
        <v>717</v>
      </c>
      <c r="L267" s="385" t="s">
        <v>718</v>
      </c>
      <c r="M267" s="272">
        <v>410202800</v>
      </c>
      <c r="N267" s="385" t="s">
        <v>718</v>
      </c>
      <c r="O267" s="272" t="s">
        <v>26</v>
      </c>
      <c r="P267" s="264">
        <v>1</v>
      </c>
      <c r="Q267" s="264">
        <v>0</v>
      </c>
      <c r="R267" s="281">
        <v>2024003630045</v>
      </c>
      <c r="S267" s="325" t="s">
        <v>716</v>
      </c>
      <c r="T267" s="328"/>
      <c r="U267" s="328"/>
      <c r="V267" s="328"/>
      <c r="W267" s="328"/>
      <c r="X267" s="328"/>
      <c r="Y267" s="328"/>
      <c r="Z267" s="328"/>
      <c r="AA267" s="328"/>
      <c r="AB267" s="328"/>
      <c r="AC267" s="328"/>
      <c r="AD267" s="328"/>
      <c r="AE267" s="328"/>
      <c r="AF267" s="328"/>
      <c r="AG267" s="328"/>
      <c r="AH267" s="328"/>
      <c r="AI267" s="328"/>
      <c r="AJ267" s="328"/>
      <c r="AK267" s="328"/>
      <c r="AL267" s="328">
        <v>5000000</v>
      </c>
      <c r="AM267" s="328">
        <v>5000000</v>
      </c>
      <c r="AN267" s="328"/>
      <c r="AO267" s="328"/>
      <c r="AP267" s="328"/>
      <c r="AQ267" s="328"/>
      <c r="AR267" s="328"/>
      <c r="AS267" s="328"/>
      <c r="AT267" s="328"/>
      <c r="AU267" s="328">
        <f t="shared" si="16"/>
        <v>5000000</v>
      </c>
      <c r="AV267" s="328">
        <f t="shared" si="14"/>
        <v>5000000</v>
      </c>
      <c r="AW267" s="328">
        <f t="shared" si="15"/>
        <v>0</v>
      </c>
      <c r="AX267" s="330" t="s">
        <v>679</v>
      </c>
      <c r="AY267" s="331"/>
      <c r="AZ267" s="331"/>
      <c r="BA267" s="331"/>
      <c r="BB267" s="331"/>
      <c r="BC267" s="331"/>
      <c r="BD267" s="331"/>
      <c r="BE267" s="331"/>
      <c r="BF267" s="331"/>
      <c r="BG267" s="331"/>
      <c r="BH267" s="331"/>
      <c r="BI267" s="331"/>
      <c r="BJ267" s="331"/>
      <c r="BK267" s="331"/>
      <c r="BL267" s="331"/>
      <c r="BM267" s="331"/>
      <c r="BN267" s="331"/>
      <c r="BO267" s="331"/>
      <c r="BP267" s="331"/>
      <c r="BQ267" s="331"/>
      <c r="BR267" s="331"/>
      <c r="BS267" s="331"/>
      <c r="BT267" s="331"/>
      <c r="BU267" s="331"/>
      <c r="BV267" s="331"/>
      <c r="BW267" s="331"/>
      <c r="BX267" s="331"/>
      <c r="BY267" s="331"/>
      <c r="BZ267" s="331"/>
      <c r="CA267" s="331"/>
      <c r="CB267" s="331"/>
      <c r="CC267" s="331"/>
      <c r="CD267" s="331"/>
      <c r="CE267" s="331"/>
      <c r="CF267" s="331"/>
      <c r="CG267" s="331"/>
      <c r="CH267" s="331"/>
      <c r="CI267" s="331"/>
      <c r="CJ267" s="331"/>
      <c r="CK267" s="331"/>
      <c r="CL267" s="331"/>
      <c r="CM267" s="331"/>
      <c r="CN267" s="331"/>
      <c r="CO267" s="331"/>
      <c r="CP267" s="331"/>
      <c r="CQ267" s="331"/>
      <c r="CR267" s="331"/>
      <c r="CS267" s="331"/>
      <c r="CT267" s="331"/>
      <c r="CU267" s="331"/>
      <c r="CV267" s="331"/>
      <c r="CW267" s="331"/>
      <c r="CX267" s="331"/>
      <c r="CY267" s="331"/>
      <c r="CZ267" s="331"/>
      <c r="DA267" s="331"/>
      <c r="DB267" s="331"/>
      <c r="DC267" s="331"/>
      <c r="DD267" s="331"/>
      <c r="DE267" s="331"/>
      <c r="DF267" s="331"/>
      <c r="DG267" s="331"/>
      <c r="DH267" s="331"/>
      <c r="DI267" s="331"/>
      <c r="DJ267" s="331"/>
      <c r="DK267" s="331"/>
      <c r="DL267" s="331"/>
      <c r="DM267" s="331"/>
      <c r="DN267" s="331"/>
      <c r="DO267" s="331"/>
      <c r="DP267" s="331"/>
      <c r="DQ267" s="331"/>
      <c r="DR267" s="331"/>
      <c r="DS267" s="331"/>
      <c r="DT267" s="331"/>
      <c r="DU267" s="331"/>
      <c r="DV267" s="331"/>
      <c r="DW267" s="331"/>
      <c r="DX267" s="331"/>
      <c r="DY267" s="331"/>
    </row>
    <row r="268" spans="1:129" s="331" customFormat="1" ht="76.5" x14ac:dyDescent="0.25">
      <c r="A268" s="257">
        <v>316</v>
      </c>
      <c r="B268" s="376" t="s">
        <v>674</v>
      </c>
      <c r="C268" s="257">
        <v>1</v>
      </c>
      <c r="D268" s="376" t="s">
        <v>105</v>
      </c>
      <c r="E268" s="257">
        <v>1</v>
      </c>
      <c r="F268" s="376" t="s">
        <v>112</v>
      </c>
      <c r="G268" s="257">
        <v>41</v>
      </c>
      <c r="H268" s="376" t="s">
        <v>129</v>
      </c>
      <c r="I268" s="257">
        <v>4103</v>
      </c>
      <c r="J268" s="376" t="s">
        <v>268</v>
      </c>
      <c r="K268" s="256">
        <v>4103059</v>
      </c>
      <c r="L268" s="376" t="s">
        <v>719</v>
      </c>
      <c r="M268" s="263">
        <v>410305900</v>
      </c>
      <c r="N268" s="388" t="s">
        <v>720</v>
      </c>
      <c r="O268" s="280" t="s">
        <v>67</v>
      </c>
      <c r="P268" s="280">
        <v>16</v>
      </c>
      <c r="Q268" s="280">
        <v>6</v>
      </c>
      <c r="R268" s="380">
        <v>2020003630103</v>
      </c>
      <c r="S268" s="376" t="s">
        <v>721</v>
      </c>
      <c r="T268" s="381"/>
      <c r="U268" s="381"/>
      <c r="V268" s="381"/>
      <c r="W268" s="381"/>
      <c r="X268" s="381"/>
      <c r="Y268" s="381"/>
      <c r="Z268" s="381"/>
      <c r="AA268" s="381"/>
      <c r="AB268" s="381"/>
      <c r="AC268" s="381"/>
      <c r="AD268" s="381"/>
      <c r="AE268" s="381"/>
      <c r="AF268" s="381"/>
      <c r="AG268" s="381"/>
      <c r="AH268" s="381"/>
      <c r="AI268" s="381"/>
      <c r="AJ268" s="381"/>
      <c r="AK268" s="381"/>
      <c r="AL268" s="381">
        <f>45000000+30000000-46600000</f>
        <v>28400000</v>
      </c>
      <c r="AM268" s="381">
        <v>28400000</v>
      </c>
      <c r="AN268" s="381">
        <v>28400000</v>
      </c>
      <c r="AO268" s="381">
        <f>100000000-100000000</f>
        <v>0</v>
      </c>
      <c r="AP268" s="381"/>
      <c r="AQ268" s="381"/>
      <c r="AR268" s="381"/>
      <c r="AS268" s="381"/>
      <c r="AT268" s="381"/>
      <c r="AU268" s="381">
        <f t="shared" si="16"/>
        <v>28400000</v>
      </c>
      <c r="AV268" s="381">
        <f t="shared" ref="AV268:AV331" si="17">SUM(U268,X268,AA268,AD268,AG268,AJ268,AM268,AP268,AS268)</f>
        <v>28400000</v>
      </c>
      <c r="AW268" s="381">
        <f t="shared" ref="AW268:AW331" si="18">SUM(V268,Y268,AB268,AE268,AH268,AK268,AN268,AQ268,AT268)</f>
        <v>28400000</v>
      </c>
      <c r="AX268" s="473" t="s">
        <v>679</v>
      </c>
    </row>
    <row r="269" spans="1:129" s="331" customFormat="1" ht="63.75" x14ac:dyDescent="0.25">
      <c r="A269" s="257">
        <v>316</v>
      </c>
      <c r="B269" s="376" t="s">
        <v>674</v>
      </c>
      <c r="C269" s="257">
        <v>1</v>
      </c>
      <c r="D269" s="376" t="s">
        <v>105</v>
      </c>
      <c r="E269" s="257">
        <v>1</v>
      </c>
      <c r="F269" s="376" t="s">
        <v>112</v>
      </c>
      <c r="G269" s="257">
        <v>41</v>
      </c>
      <c r="H269" s="376" t="s">
        <v>129</v>
      </c>
      <c r="I269" s="257">
        <v>4103</v>
      </c>
      <c r="J269" s="376" t="s">
        <v>268</v>
      </c>
      <c r="K269" s="257">
        <v>4103052</v>
      </c>
      <c r="L269" s="376" t="s">
        <v>269</v>
      </c>
      <c r="M269" s="280">
        <v>410305202</v>
      </c>
      <c r="N269" s="388" t="s">
        <v>722</v>
      </c>
      <c r="O269" s="280" t="s">
        <v>26</v>
      </c>
      <c r="P269" s="280">
        <v>1</v>
      </c>
      <c r="Q269" s="280">
        <v>0.6</v>
      </c>
      <c r="R269" s="380">
        <v>2020003630104</v>
      </c>
      <c r="S269" s="388" t="s">
        <v>723</v>
      </c>
      <c r="T269" s="381"/>
      <c r="U269" s="381"/>
      <c r="V269" s="381"/>
      <c r="W269" s="381"/>
      <c r="X269" s="381"/>
      <c r="Y269" s="381"/>
      <c r="Z269" s="381"/>
      <c r="AA269" s="381"/>
      <c r="AB269" s="381"/>
      <c r="AC269" s="381"/>
      <c r="AD269" s="381"/>
      <c r="AE269" s="381"/>
      <c r="AF269" s="381"/>
      <c r="AG269" s="381"/>
      <c r="AH269" s="381"/>
      <c r="AI269" s="381"/>
      <c r="AJ269" s="381"/>
      <c r="AK269" s="381"/>
      <c r="AL269" s="381">
        <f>46000000+20000000-20175000</f>
        <v>45825000</v>
      </c>
      <c r="AM269" s="381">
        <v>45825000</v>
      </c>
      <c r="AN269" s="381">
        <v>45825000</v>
      </c>
      <c r="AO269" s="381"/>
      <c r="AP269" s="381"/>
      <c r="AQ269" s="381"/>
      <c r="AR269" s="381"/>
      <c r="AS269" s="381"/>
      <c r="AT269" s="381"/>
      <c r="AU269" s="381">
        <f t="shared" si="16"/>
        <v>45825000</v>
      </c>
      <c r="AV269" s="381">
        <f t="shared" si="17"/>
        <v>45825000</v>
      </c>
      <c r="AW269" s="381">
        <f t="shared" si="18"/>
        <v>45825000</v>
      </c>
      <c r="AX269" s="473" t="s">
        <v>679</v>
      </c>
    </row>
    <row r="270" spans="1:129" s="332" customFormat="1" ht="63.75" x14ac:dyDescent="0.25">
      <c r="A270" s="259">
        <v>316</v>
      </c>
      <c r="B270" s="325" t="s">
        <v>674</v>
      </c>
      <c r="C270" s="259"/>
      <c r="D270" s="325"/>
      <c r="E270" s="259">
        <v>1</v>
      </c>
      <c r="F270" s="325" t="s">
        <v>112</v>
      </c>
      <c r="G270" s="282" t="s">
        <v>200</v>
      </c>
      <c r="H270" s="435" t="s">
        <v>129</v>
      </c>
      <c r="I270" s="282" t="s">
        <v>724</v>
      </c>
      <c r="J270" s="385" t="s">
        <v>272</v>
      </c>
      <c r="K270" s="259">
        <v>4103052</v>
      </c>
      <c r="L270" s="325" t="s">
        <v>269</v>
      </c>
      <c r="M270" s="272">
        <v>410305202</v>
      </c>
      <c r="N270" s="333" t="s">
        <v>725</v>
      </c>
      <c r="O270" s="272" t="s">
        <v>26</v>
      </c>
      <c r="P270" s="272">
        <v>1</v>
      </c>
      <c r="Q270" s="272">
        <v>0.3</v>
      </c>
      <c r="R270" s="281">
        <v>2024003630053</v>
      </c>
      <c r="S270" s="333" t="s">
        <v>726</v>
      </c>
      <c r="T270" s="328"/>
      <c r="U270" s="328"/>
      <c r="V270" s="328"/>
      <c r="W270" s="328"/>
      <c r="X270" s="328"/>
      <c r="Y270" s="328"/>
      <c r="Z270" s="328"/>
      <c r="AA270" s="328"/>
      <c r="AB270" s="328"/>
      <c r="AC270" s="328"/>
      <c r="AD270" s="328"/>
      <c r="AE270" s="328"/>
      <c r="AF270" s="328"/>
      <c r="AG270" s="328"/>
      <c r="AH270" s="328"/>
      <c r="AI270" s="328"/>
      <c r="AJ270" s="328"/>
      <c r="AK270" s="328"/>
      <c r="AL270" s="328">
        <v>36000000</v>
      </c>
      <c r="AM270" s="328">
        <v>35150000</v>
      </c>
      <c r="AN270" s="328">
        <v>25900000</v>
      </c>
      <c r="AO270" s="328"/>
      <c r="AP270" s="328"/>
      <c r="AQ270" s="328"/>
      <c r="AR270" s="328"/>
      <c r="AS270" s="328"/>
      <c r="AT270" s="328"/>
      <c r="AU270" s="328">
        <f t="shared" si="16"/>
        <v>36000000</v>
      </c>
      <c r="AV270" s="328">
        <f t="shared" si="17"/>
        <v>35150000</v>
      </c>
      <c r="AW270" s="328">
        <f t="shared" si="18"/>
        <v>25900000</v>
      </c>
      <c r="AX270" s="330" t="s">
        <v>679</v>
      </c>
      <c r="AY270" s="331"/>
      <c r="AZ270" s="331"/>
      <c r="BA270" s="331"/>
      <c r="BB270" s="331"/>
      <c r="BC270" s="331"/>
      <c r="BD270" s="331"/>
      <c r="BE270" s="331"/>
      <c r="BF270" s="331"/>
      <c r="BG270" s="331"/>
      <c r="BH270" s="331"/>
      <c r="BI270" s="331"/>
      <c r="BJ270" s="331"/>
      <c r="BK270" s="331"/>
      <c r="BL270" s="331"/>
      <c r="BM270" s="331"/>
      <c r="BN270" s="331"/>
      <c r="BO270" s="331"/>
      <c r="BP270" s="331"/>
      <c r="BQ270" s="331"/>
      <c r="BR270" s="331"/>
      <c r="BS270" s="331"/>
      <c r="BT270" s="331"/>
      <c r="BU270" s="331"/>
      <c r="BV270" s="331"/>
      <c r="BW270" s="331"/>
      <c r="BX270" s="331"/>
      <c r="BY270" s="331"/>
      <c r="BZ270" s="331"/>
      <c r="CA270" s="331"/>
      <c r="CB270" s="331"/>
      <c r="CC270" s="331"/>
      <c r="CD270" s="331"/>
      <c r="CE270" s="331"/>
      <c r="CF270" s="331"/>
      <c r="CG270" s="331"/>
      <c r="CH270" s="331"/>
      <c r="CI270" s="331"/>
      <c r="CJ270" s="331"/>
      <c r="CK270" s="331"/>
      <c r="CL270" s="331"/>
      <c r="CM270" s="331"/>
      <c r="CN270" s="331"/>
      <c r="CO270" s="331"/>
      <c r="CP270" s="331"/>
      <c r="CQ270" s="331"/>
      <c r="CR270" s="331"/>
      <c r="CS270" s="331"/>
      <c r="CT270" s="331"/>
      <c r="CU270" s="331"/>
      <c r="CV270" s="331"/>
      <c r="CW270" s="331"/>
      <c r="CX270" s="331"/>
      <c r="CY270" s="331"/>
      <c r="CZ270" s="331"/>
      <c r="DA270" s="331"/>
      <c r="DB270" s="331"/>
      <c r="DC270" s="331"/>
      <c r="DD270" s="331"/>
      <c r="DE270" s="331"/>
      <c r="DF270" s="331"/>
      <c r="DG270" s="331"/>
      <c r="DH270" s="331"/>
      <c r="DI270" s="331"/>
      <c r="DJ270" s="331"/>
      <c r="DK270" s="331"/>
      <c r="DL270" s="331"/>
      <c r="DM270" s="331"/>
      <c r="DN270" s="331"/>
      <c r="DO270" s="331"/>
      <c r="DP270" s="331"/>
      <c r="DQ270" s="331"/>
      <c r="DR270" s="331"/>
      <c r="DS270" s="331"/>
      <c r="DT270" s="331"/>
      <c r="DU270" s="331"/>
      <c r="DV270" s="331"/>
      <c r="DW270" s="331"/>
      <c r="DX270" s="331"/>
      <c r="DY270" s="331"/>
    </row>
    <row r="271" spans="1:129" s="331" customFormat="1" ht="63.75" x14ac:dyDescent="0.25">
      <c r="A271" s="257">
        <v>316</v>
      </c>
      <c r="B271" s="376" t="s">
        <v>674</v>
      </c>
      <c r="C271" s="257">
        <v>1</v>
      </c>
      <c r="D271" s="376" t="s">
        <v>105</v>
      </c>
      <c r="E271" s="257">
        <v>1</v>
      </c>
      <c r="F271" s="376" t="s">
        <v>112</v>
      </c>
      <c r="G271" s="257">
        <v>41</v>
      </c>
      <c r="H271" s="376" t="s">
        <v>129</v>
      </c>
      <c r="I271" s="257">
        <v>4103</v>
      </c>
      <c r="J271" s="376" t="s">
        <v>268</v>
      </c>
      <c r="K271" s="257">
        <v>4103050</v>
      </c>
      <c r="L271" s="376" t="s">
        <v>727</v>
      </c>
      <c r="M271" s="280">
        <v>410305001</v>
      </c>
      <c r="N271" s="388" t="s">
        <v>728</v>
      </c>
      <c r="O271" s="280" t="s">
        <v>26</v>
      </c>
      <c r="P271" s="280">
        <v>12</v>
      </c>
      <c r="Q271" s="280">
        <v>8</v>
      </c>
      <c r="R271" s="380">
        <v>2020003630105</v>
      </c>
      <c r="S271" s="388" t="s">
        <v>729</v>
      </c>
      <c r="T271" s="381"/>
      <c r="U271" s="381"/>
      <c r="V271" s="381"/>
      <c r="W271" s="381"/>
      <c r="X271" s="381"/>
      <c r="Y271" s="381"/>
      <c r="Z271" s="381"/>
      <c r="AA271" s="381"/>
      <c r="AB271" s="381"/>
      <c r="AC271" s="381"/>
      <c r="AD271" s="381"/>
      <c r="AE271" s="381"/>
      <c r="AF271" s="381"/>
      <c r="AG271" s="381"/>
      <c r="AH271" s="381"/>
      <c r="AI271" s="381"/>
      <c r="AJ271" s="381"/>
      <c r="AK271" s="381"/>
      <c r="AL271" s="381">
        <f>40000000+30000000-28350000</f>
        <v>41650000</v>
      </c>
      <c r="AM271" s="381">
        <v>41650000</v>
      </c>
      <c r="AN271" s="381">
        <v>41650000</v>
      </c>
      <c r="AO271" s="381"/>
      <c r="AP271" s="381"/>
      <c r="AQ271" s="381"/>
      <c r="AR271" s="381"/>
      <c r="AS271" s="381"/>
      <c r="AT271" s="381"/>
      <c r="AU271" s="381">
        <f t="shared" si="16"/>
        <v>41650000</v>
      </c>
      <c r="AV271" s="381">
        <f t="shared" si="17"/>
        <v>41650000</v>
      </c>
      <c r="AW271" s="381">
        <f t="shared" si="18"/>
        <v>41650000</v>
      </c>
      <c r="AX271" s="473" t="s">
        <v>679</v>
      </c>
    </row>
    <row r="272" spans="1:129" s="332" customFormat="1" ht="63.75" x14ac:dyDescent="0.25">
      <c r="A272" s="259">
        <v>316</v>
      </c>
      <c r="B272" s="325" t="s">
        <v>674</v>
      </c>
      <c r="C272" s="259"/>
      <c r="D272" s="325"/>
      <c r="E272" s="259">
        <v>1</v>
      </c>
      <c r="F272" s="325" t="s">
        <v>112</v>
      </c>
      <c r="G272" s="282" t="s">
        <v>200</v>
      </c>
      <c r="H272" s="435" t="s">
        <v>129</v>
      </c>
      <c r="I272" s="282" t="s">
        <v>724</v>
      </c>
      <c r="J272" s="385" t="s">
        <v>272</v>
      </c>
      <c r="K272" s="259">
        <v>4103050</v>
      </c>
      <c r="L272" s="325" t="s">
        <v>727</v>
      </c>
      <c r="M272" s="272">
        <v>410305001</v>
      </c>
      <c r="N272" s="333" t="s">
        <v>730</v>
      </c>
      <c r="O272" s="272" t="s">
        <v>26</v>
      </c>
      <c r="P272" s="272">
        <v>12</v>
      </c>
      <c r="Q272" s="272">
        <v>2</v>
      </c>
      <c r="R272" s="281">
        <v>2024003630092</v>
      </c>
      <c r="S272" s="333" t="s">
        <v>731</v>
      </c>
      <c r="T272" s="328"/>
      <c r="U272" s="328"/>
      <c r="V272" s="328"/>
      <c r="W272" s="328"/>
      <c r="X272" s="328"/>
      <c r="Y272" s="328"/>
      <c r="Z272" s="328"/>
      <c r="AA272" s="328"/>
      <c r="AB272" s="328"/>
      <c r="AC272" s="328"/>
      <c r="AD272" s="328"/>
      <c r="AE272" s="328"/>
      <c r="AF272" s="328"/>
      <c r="AG272" s="328"/>
      <c r="AH272" s="328"/>
      <c r="AI272" s="328"/>
      <c r="AJ272" s="328"/>
      <c r="AK272" s="328"/>
      <c r="AL272" s="328">
        <v>20000000</v>
      </c>
      <c r="AM272" s="328">
        <v>17560000</v>
      </c>
      <c r="AN272" s="328">
        <v>16900000</v>
      </c>
      <c r="AO272" s="328"/>
      <c r="AP272" s="328"/>
      <c r="AQ272" s="328"/>
      <c r="AR272" s="328"/>
      <c r="AS272" s="328"/>
      <c r="AT272" s="328"/>
      <c r="AU272" s="328">
        <f t="shared" si="16"/>
        <v>20000000</v>
      </c>
      <c r="AV272" s="328">
        <f t="shared" si="17"/>
        <v>17560000</v>
      </c>
      <c r="AW272" s="328">
        <f t="shared" si="18"/>
        <v>16900000</v>
      </c>
      <c r="AX272" s="330" t="s">
        <v>679</v>
      </c>
      <c r="AY272" s="331"/>
      <c r="AZ272" s="331"/>
      <c r="BA272" s="331"/>
      <c r="BB272" s="331"/>
      <c r="BC272" s="331"/>
      <c r="BD272" s="331"/>
      <c r="BE272" s="331"/>
      <c r="BF272" s="331"/>
      <c r="BG272" s="331"/>
      <c r="BH272" s="331"/>
      <c r="BI272" s="331"/>
      <c r="BJ272" s="331"/>
      <c r="BK272" s="331"/>
      <c r="BL272" s="331"/>
      <c r="BM272" s="331"/>
      <c r="BN272" s="331"/>
      <c r="BO272" s="331"/>
      <c r="BP272" s="331"/>
      <c r="BQ272" s="331"/>
      <c r="BR272" s="331"/>
      <c r="BS272" s="331"/>
      <c r="BT272" s="331"/>
      <c r="BU272" s="331"/>
      <c r="BV272" s="331"/>
      <c r="BW272" s="331"/>
      <c r="BX272" s="331"/>
      <c r="BY272" s="331"/>
      <c r="BZ272" s="331"/>
      <c r="CA272" s="331"/>
      <c r="CB272" s="331"/>
      <c r="CC272" s="331"/>
      <c r="CD272" s="331"/>
      <c r="CE272" s="331"/>
      <c r="CF272" s="331"/>
      <c r="CG272" s="331"/>
      <c r="CH272" s="331"/>
      <c r="CI272" s="331"/>
      <c r="CJ272" s="331"/>
      <c r="CK272" s="331"/>
      <c r="CL272" s="331"/>
      <c r="CM272" s="331"/>
      <c r="CN272" s="331"/>
      <c r="CO272" s="331"/>
      <c r="CP272" s="331"/>
      <c r="CQ272" s="331"/>
      <c r="CR272" s="331"/>
      <c r="CS272" s="331"/>
      <c r="CT272" s="331"/>
      <c r="CU272" s="331"/>
      <c r="CV272" s="331"/>
      <c r="CW272" s="331"/>
      <c r="CX272" s="331"/>
      <c r="CY272" s="331"/>
      <c r="CZ272" s="331"/>
      <c r="DA272" s="331"/>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row>
    <row r="273" spans="1:129" s="332" customFormat="1" ht="63.75" x14ac:dyDescent="0.25">
      <c r="A273" s="259">
        <v>316</v>
      </c>
      <c r="B273" s="325" t="s">
        <v>674</v>
      </c>
      <c r="C273" s="259"/>
      <c r="D273" s="325"/>
      <c r="E273" s="259">
        <v>1</v>
      </c>
      <c r="F273" s="325" t="s">
        <v>112</v>
      </c>
      <c r="G273" s="282" t="s">
        <v>200</v>
      </c>
      <c r="H273" s="435" t="s">
        <v>129</v>
      </c>
      <c r="I273" s="282" t="s">
        <v>724</v>
      </c>
      <c r="J273" s="385" t="s">
        <v>272</v>
      </c>
      <c r="K273" s="259">
        <v>4103058</v>
      </c>
      <c r="L273" s="325" t="s">
        <v>732</v>
      </c>
      <c r="M273" s="272">
        <v>410305800</v>
      </c>
      <c r="N273" s="333" t="s">
        <v>733</v>
      </c>
      <c r="O273" s="272" t="s">
        <v>26</v>
      </c>
      <c r="P273" s="272">
        <v>15</v>
      </c>
      <c r="Q273" s="272">
        <v>13</v>
      </c>
      <c r="R273" s="281">
        <v>2024003630092</v>
      </c>
      <c r="S273" s="333" t="s">
        <v>731</v>
      </c>
      <c r="T273" s="328"/>
      <c r="U273" s="328"/>
      <c r="V273" s="328"/>
      <c r="W273" s="328"/>
      <c r="X273" s="328"/>
      <c r="Y273" s="328"/>
      <c r="Z273" s="328"/>
      <c r="AA273" s="328"/>
      <c r="AB273" s="328"/>
      <c r="AC273" s="328"/>
      <c r="AD273" s="328"/>
      <c r="AE273" s="328"/>
      <c r="AF273" s="328"/>
      <c r="AG273" s="328"/>
      <c r="AH273" s="328"/>
      <c r="AI273" s="328"/>
      <c r="AJ273" s="328"/>
      <c r="AK273" s="328"/>
      <c r="AL273" s="328">
        <v>20000000</v>
      </c>
      <c r="AM273" s="328">
        <v>16050000</v>
      </c>
      <c r="AN273" s="328">
        <v>14100000</v>
      </c>
      <c r="AO273" s="328"/>
      <c r="AP273" s="328"/>
      <c r="AQ273" s="328"/>
      <c r="AR273" s="328"/>
      <c r="AS273" s="328"/>
      <c r="AT273" s="328"/>
      <c r="AU273" s="328">
        <f t="shared" si="16"/>
        <v>20000000</v>
      </c>
      <c r="AV273" s="328">
        <f t="shared" si="17"/>
        <v>16050000</v>
      </c>
      <c r="AW273" s="328">
        <f t="shared" si="18"/>
        <v>14100000</v>
      </c>
      <c r="AX273" s="330" t="s">
        <v>679</v>
      </c>
      <c r="AY273" s="331"/>
      <c r="AZ273" s="331"/>
      <c r="BA273" s="331"/>
      <c r="BB273" s="331"/>
      <c r="BC273" s="331"/>
      <c r="BD273" s="331"/>
      <c r="BE273" s="331"/>
      <c r="BF273" s="331"/>
      <c r="BG273" s="331"/>
      <c r="BH273" s="331"/>
      <c r="BI273" s="331"/>
      <c r="BJ273" s="331"/>
      <c r="BK273" s="331"/>
      <c r="BL273" s="331"/>
      <c r="BM273" s="331"/>
      <c r="BN273" s="331"/>
      <c r="BO273" s="331"/>
      <c r="BP273" s="331"/>
      <c r="BQ273" s="331"/>
      <c r="BR273" s="331"/>
      <c r="BS273" s="331"/>
      <c r="BT273" s="331"/>
      <c r="BU273" s="331"/>
      <c r="BV273" s="331"/>
      <c r="BW273" s="331"/>
      <c r="BX273" s="331"/>
      <c r="BY273" s="331"/>
      <c r="BZ273" s="331"/>
      <c r="CA273" s="331"/>
      <c r="CB273" s="331"/>
      <c r="CC273" s="331"/>
      <c r="CD273" s="331"/>
      <c r="CE273" s="331"/>
      <c r="CF273" s="331"/>
      <c r="CG273" s="331"/>
      <c r="CH273" s="331"/>
      <c r="CI273" s="331"/>
      <c r="CJ273" s="331"/>
      <c r="CK273" s="331"/>
      <c r="CL273" s="331"/>
      <c r="CM273" s="331"/>
      <c r="CN273" s="331"/>
      <c r="CO273" s="331"/>
      <c r="CP273" s="331"/>
      <c r="CQ273" s="331"/>
      <c r="CR273" s="331"/>
      <c r="CS273" s="331"/>
      <c r="CT273" s="331"/>
      <c r="CU273" s="331"/>
      <c r="CV273" s="331"/>
      <c r="CW273" s="331"/>
      <c r="CX273" s="331"/>
      <c r="CY273" s="331"/>
      <c r="CZ273" s="331"/>
      <c r="DA273" s="331"/>
      <c r="DB273" s="331"/>
      <c r="DC273" s="331"/>
      <c r="DD273" s="331"/>
      <c r="DE273" s="331"/>
      <c r="DF273" s="331"/>
      <c r="DG273" s="331"/>
      <c r="DH273" s="331"/>
      <c r="DI273" s="331"/>
      <c r="DJ273" s="331"/>
      <c r="DK273" s="331"/>
      <c r="DL273" s="331"/>
      <c r="DM273" s="331"/>
      <c r="DN273" s="331"/>
      <c r="DO273" s="331"/>
      <c r="DP273" s="331"/>
      <c r="DQ273" s="331"/>
      <c r="DR273" s="331"/>
      <c r="DS273" s="331"/>
      <c r="DT273" s="331"/>
      <c r="DU273" s="331"/>
      <c r="DV273" s="331"/>
      <c r="DW273" s="331"/>
      <c r="DX273" s="331"/>
      <c r="DY273" s="331"/>
    </row>
    <row r="274" spans="1:129" s="332" customFormat="1" ht="76.5" x14ac:dyDescent="0.25">
      <c r="A274" s="259">
        <v>316</v>
      </c>
      <c r="B274" s="325" t="s">
        <v>674</v>
      </c>
      <c r="C274" s="259"/>
      <c r="D274" s="325"/>
      <c r="E274" s="259">
        <v>1</v>
      </c>
      <c r="F274" s="325" t="s">
        <v>112</v>
      </c>
      <c r="G274" s="282" t="s">
        <v>200</v>
      </c>
      <c r="H274" s="435" t="s">
        <v>129</v>
      </c>
      <c r="I274" s="282" t="s">
        <v>724</v>
      </c>
      <c r="J274" s="385" t="s">
        <v>272</v>
      </c>
      <c r="K274" s="259">
        <v>4103059</v>
      </c>
      <c r="L274" s="325" t="s">
        <v>719</v>
      </c>
      <c r="M274" s="272">
        <v>410305900</v>
      </c>
      <c r="N274" s="333" t="s">
        <v>720</v>
      </c>
      <c r="O274" s="272" t="s">
        <v>67</v>
      </c>
      <c r="P274" s="272">
        <v>10</v>
      </c>
      <c r="Q274" s="272">
        <v>1</v>
      </c>
      <c r="R274" s="281">
        <v>2024003630092</v>
      </c>
      <c r="S274" s="333" t="s">
        <v>731</v>
      </c>
      <c r="T274" s="328"/>
      <c r="U274" s="328"/>
      <c r="V274" s="328"/>
      <c r="W274" s="328"/>
      <c r="X274" s="328"/>
      <c r="Y274" s="328"/>
      <c r="Z274" s="328"/>
      <c r="AA274" s="328"/>
      <c r="AB274" s="328"/>
      <c r="AC274" s="328"/>
      <c r="AD274" s="328"/>
      <c r="AE274" s="328"/>
      <c r="AF274" s="328"/>
      <c r="AG274" s="328"/>
      <c r="AH274" s="328"/>
      <c r="AI274" s="328"/>
      <c r="AJ274" s="328"/>
      <c r="AK274" s="328"/>
      <c r="AL274" s="328">
        <v>20000000</v>
      </c>
      <c r="AM274" s="328">
        <v>17153333</v>
      </c>
      <c r="AN274" s="328">
        <v>4100000</v>
      </c>
      <c r="AO274" s="328"/>
      <c r="AP274" s="328"/>
      <c r="AQ274" s="328"/>
      <c r="AR274" s="328"/>
      <c r="AS274" s="328"/>
      <c r="AT274" s="328"/>
      <c r="AU274" s="328">
        <f t="shared" si="16"/>
        <v>20000000</v>
      </c>
      <c r="AV274" s="328">
        <f t="shared" si="17"/>
        <v>17153333</v>
      </c>
      <c r="AW274" s="328">
        <f t="shared" si="18"/>
        <v>4100000</v>
      </c>
      <c r="AX274" s="330" t="s">
        <v>679</v>
      </c>
      <c r="AY274" s="331"/>
      <c r="AZ274" s="331"/>
      <c r="BA274" s="331"/>
      <c r="BB274" s="331"/>
      <c r="BC274" s="331"/>
      <c r="BD274" s="331"/>
      <c r="BE274" s="331"/>
      <c r="BF274" s="331"/>
      <c r="BG274" s="331"/>
      <c r="BH274" s="331"/>
      <c r="BI274" s="331"/>
      <c r="BJ274" s="331"/>
      <c r="BK274" s="331"/>
      <c r="BL274" s="331"/>
      <c r="BM274" s="331"/>
      <c r="BN274" s="331"/>
      <c r="BO274" s="331"/>
      <c r="BP274" s="331"/>
      <c r="BQ274" s="331"/>
      <c r="BR274" s="331"/>
      <c r="BS274" s="331"/>
      <c r="BT274" s="331"/>
      <c r="BU274" s="331"/>
      <c r="BV274" s="331"/>
      <c r="BW274" s="331"/>
      <c r="BX274" s="331"/>
      <c r="BY274" s="331"/>
      <c r="BZ274" s="331"/>
      <c r="CA274" s="331"/>
      <c r="CB274" s="331"/>
      <c r="CC274" s="331"/>
      <c r="CD274" s="331"/>
      <c r="CE274" s="331"/>
      <c r="CF274" s="331"/>
      <c r="CG274" s="331"/>
      <c r="CH274" s="331"/>
      <c r="CI274" s="331"/>
      <c r="CJ274" s="331"/>
      <c r="CK274" s="331"/>
      <c r="CL274" s="331"/>
      <c r="CM274" s="331"/>
      <c r="CN274" s="331"/>
      <c r="CO274" s="331"/>
      <c r="CP274" s="331"/>
      <c r="CQ274" s="331"/>
      <c r="CR274" s="331"/>
      <c r="CS274" s="331"/>
      <c r="CT274" s="331"/>
      <c r="CU274" s="331"/>
      <c r="CV274" s="331"/>
      <c r="CW274" s="331"/>
      <c r="CX274" s="331"/>
      <c r="CY274" s="331"/>
      <c r="CZ274" s="331"/>
      <c r="DA274" s="331"/>
      <c r="DB274" s="331"/>
      <c r="DC274" s="331"/>
      <c r="DD274" s="331"/>
      <c r="DE274" s="331"/>
      <c r="DF274" s="331"/>
      <c r="DG274" s="331"/>
      <c r="DH274" s="331"/>
      <c r="DI274" s="331"/>
      <c r="DJ274" s="331"/>
      <c r="DK274" s="331"/>
      <c r="DL274" s="331"/>
      <c r="DM274" s="331"/>
      <c r="DN274" s="331"/>
      <c r="DO274" s="331"/>
      <c r="DP274" s="331"/>
      <c r="DQ274" s="331"/>
      <c r="DR274" s="331"/>
      <c r="DS274" s="331"/>
      <c r="DT274" s="331"/>
      <c r="DU274" s="331"/>
      <c r="DV274" s="331"/>
      <c r="DW274" s="331"/>
      <c r="DX274" s="331"/>
      <c r="DY274" s="331"/>
    </row>
    <row r="275" spans="1:129" s="331" customFormat="1" ht="63.75" x14ac:dyDescent="0.25">
      <c r="A275" s="257">
        <v>316</v>
      </c>
      <c r="B275" s="376" t="s">
        <v>674</v>
      </c>
      <c r="C275" s="257">
        <v>1</v>
      </c>
      <c r="D275" s="376" t="s">
        <v>105</v>
      </c>
      <c r="E275" s="257">
        <v>1</v>
      </c>
      <c r="F275" s="376" t="s">
        <v>112</v>
      </c>
      <c r="G275" s="257">
        <v>41</v>
      </c>
      <c r="H275" s="376" t="s">
        <v>129</v>
      </c>
      <c r="I275" s="257">
        <v>4103</v>
      </c>
      <c r="J275" s="376" t="s">
        <v>268</v>
      </c>
      <c r="K275" s="256">
        <v>4103058</v>
      </c>
      <c r="L275" s="376" t="s">
        <v>732</v>
      </c>
      <c r="M275" s="263">
        <v>410305800</v>
      </c>
      <c r="N275" s="388" t="s">
        <v>733</v>
      </c>
      <c r="O275" s="280" t="s">
        <v>67</v>
      </c>
      <c r="P275" s="280">
        <v>5</v>
      </c>
      <c r="Q275" s="280">
        <v>2</v>
      </c>
      <c r="R275" s="380">
        <v>2020003630106</v>
      </c>
      <c r="S275" s="388" t="s">
        <v>734</v>
      </c>
      <c r="T275" s="381"/>
      <c r="U275" s="381"/>
      <c r="V275" s="381"/>
      <c r="W275" s="381"/>
      <c r="X275" s="381"/>
      <c r="Y275" s="381"/>
      <c r="Z275" s="381"/>
      <c r="AA275" s="381"/>
      <c r="AB275" s="381"/>
      <c r="AC275" s="381"/>
      <c r="AD275" s="381"/>
      <c r="AE275" s="381"/>
      <c r="AF275" s="381"/>
      <c r="AG275" s="381"/>
      <c r="AH275" s="381"/>
      <c r="AI275" s="381"/>
      <c r="AJ275" s="381"/>
      <c r="AK275" s="381"/>
      <c r="AL275" s="381">
        <f>50000000-28200000</f>
        <v>21800000</v>
      </c>
      <c r="AM275" s="381">
        <v>21800000</v>
      </c>
      <c r="AN275" s="381">
        <v>16800000</v>
      </c>
      <c r="AO275" s="381">
        <f>100000000-100000000</f>
        <v>0</v>
      </c>
      <c r="AP275" s="381"/>
      <c r="AQ275" s="381"/>
      <c r="AR275" s="381"/>
      <c r="AS275" s="381"/>
      <c r="AT275" s="381"/>
      <c r="AU275" s="381">
        <f t="shared" si="16"/>
        <v>21800000</v>
      </c>
      <c r="AV275" s="381">
        <f t="shared" si="17"/>
        <v>21800000</v>
      </c>
      <c r="AW275" s="381">
        <f t="shared" si="18"/>
        <v>16800000</v>
      </c>
      <c r="AX275" s="473" t="s">
        <v>679</v>
      </c>
    </row>
    <row r="276" spans="1:129" s="331" customFormat="1" ht="51" x14ac:dyDescent="0.25">
      <c r="A276" s="257">
        <v>316</v>
      </c>
      <c r="B276" s="376" t="s">
        <v>674</v>
      </c>
      <c r="C276" s="257">
        <v>1</v>
      </c>
      <c r="D276" s="376" t="s">
        <v>105</v>
      </c>
      <c r="E276" s="257">
        <v>1</v>
      </c>
      <c r="F276" s="376" t="s">
        <v>112</v>
      </c>
      <c r="G276" s="257">
        <v>41</v>
      </c>
      <c r="H276" s="376" t="s">
        <v>129</v>
      </c>
      <c r="I276" s="257">
        <v>4103</v>
      </c>
      <c r="J276" s="376" t="s">
        <v>268</v>
      </c>
      <c r="K276" s="256">
        <v>4103060</v>
      </c>
      <c r="L276" s="376" t="s">
        <v>735</v>
      </c>
      <c r="M276" s="256">
        <v>410306000</v>
      </c>
      <c r="N276" s="388" t="s">
        <v>736</v>
      </c>
      <c r="O276" s="280" t="s">
        <v>67</v>
      </c>
      <c r="P276" s="280">
        <v>5</v>
      </c>
      <c r="Q276" s="280">
        <v>0</v>
      </c>
      <c r="R276" s="380">
        <v>2020003630036</v>
      </c>
      <c r="S276" s="376" t="s">
        <v>737</v>
      </c>
      <c r="T276" s="381"/>
      <c r="U276" s="381"/>
      <c r="V276" s="381"/>
      <c r="W276" s="381"/>
      <c r="X276" s="381"/>
      <c r="Y276" s="381"/>
      <c r="Z276" s="381"/>
      <c r="AA276" s="381"/>
      <c r="AB276" s="381"/>
      <c r="AC276" s="381"/>
      <c r="AD276" s="381"/>
      <c r="AE276" s="381"/>
      <c r="AF276" s="381"/>
      <c r="AG276" s="381"/>
      <c r="AH276" s="381"/>
      <c r="AI276" s="381"/>
      <c r="AJ276" s="381"/>
      <c r="AK276" s="381"/>
      <c r="AL276" s="381">
        <f t="shared" ref="AL276:AN277" si="19">65000000+25000000-85000000</f>
        <v>5000000</v>
      </c>
      <c r="AM276" s="381">
        <f t="shared" si="19"/>
        <v>5000000</v>
      </c>
      <c r="AN276" s="381">
        <f t="shared" si="19"/>
        <v>5000000</v>
      </c>
      <c r="AO276" s="381"/>
      <c r="AP276" s="381"/>
      <c r="AQ276" s="381"/>
      <c r="AR276" s="381"/>
      <c r="AS276" s="381"/>
      <c r="AT276" s="381"/>
      <c r="AU276" s="381">
        <f t="shared" si="16"/>
        <v>5000000</v>
      </c>
      <c r="AV276" s="381">
        <f t="shared" si="17"/>
        <v>5000000</v>
      </c>
      <c r="AW276" s="381">
        <f t="shared" si="18"/>
        <v>5000000</v>
      </c>
      <c r="AX276" s="473" t="s">
        <v>679</v>
      </c>
    </row>
    <row r="277" spans="1:129" s="331" customFormat="1" ht="51" x14ac:dyDescent="0.25">
      <c r="A277" s="257">
        <v>316</v>
      </c>
      <c r="B277" s="376" t="s">
        <v>674</v>
      </c>
      <c r="C277" s="257">
        <v>1</v>
      </c>
      <c r="D277" s="376" t="s">
        <v>105</v>
      </c>
      <c r="E277" s="257">
        <v>1</v>
      </c>
      <c r="F277" s="376" t="s">
        <v>112</v>
      </c>
      <c r="G277" s="257">
        <v>41</v>
      </c>
      <c r="H277" s="376" t="s">
        <v>129</v>
      </c>
      <c r="I277" s="257">
        <v>4103</v>
      </c>
      <c r="J277" s="376" t="s">
        <v>268</v>
      </c>
      <c r="K277" s="256">
        <v>4103060</v>
      </c>
      <c r="L277" s="376" t="s">
        <v>735</v>
      </c>
      <c r="M277" s="256">
        <v>410306000</v>
      </c>
      <c r="N277" s="388" t="s">
        <v>736</v>
      </c>
      <c r="O277" s="280" t="s">
        <v>26</v>
      </c>
      <c r="P277" s="280">
        <v>2</v>
      </c>
      <c r="Q277" s="280">
        <v>0</v>
      </c>
      <c r="R277" s="380">
        <v>2020003630036</v>
      </c>
      <c r="S277" s="376" t="s">
        <v>737</v>
      </c>
      <c r="T277" s="381"/>
      <c r="U277" s="381"/>
      <c r="V277" s="381"/>
      <c r="W277" s="381"/>
      <c r="X277" s="381"/>
      <c r="Y277" s="381"/>
      <c r="Z277" s="381"/>
      <c r="AA277" s="381"/>
      <c r="AB277" s="381"/>
      <c r="AC277" s="381"/>
      <c r="AD277" s="381"/>
      <c r="AE277" s="381"/>
      <c r="AF277" s="381"/>
      <c r="AG277" s="381"/>
      <c r="AH277" s="381"/>
      <c r="AI277" s="381"/>
      <c r="AJ277" s="381"/>
      <c r="AK277" s="381"/>
      <c r="AL277" s="381">
        <f t="shared" si="19"/>
        <v>5000000</v>
      </c>
      <c r="AM277" s="381">
        <f t="shared" si="19"/>
        <v>5000000</v>
      </c>
      <c r="AN277" s="381">
        <f t="shared" si="19"/>
        <v>5000000</v>
      </c>
      <c r="AO277" s="381"/>
      <c r="AP277" s="381"/>
      <c r="AQ277" s="381"/>
      <c r="AR277" s="381"/>
      <c r="AS277" s="381"/>
      <c r="AT277" s="381"/>
      <c r="AU277" s="381">
        <f t="shared" si="16"/>
        <v>5000000</v>
      </c>
      <c r="AV277" s="381">
        <f t="shared" si="17"/>
        <v>5000000</v>
      </c>
      <c r="AW277" s="381">
        <f t="shared" si="18"/>
        <v>5000000</v>
      </c>
      <c r="AX277" s="473" t="s">
        <v>679</v>
      </c>
    </row>
    <row r="278" spans="1:129" s="332" customFormat="1" ht="51" x14ac:dyDescent="0.25">
      <c r="A278" s="259">
        <v>316</v>
      </c>
      <c r="B278" s="325" t="s">
        <v>674</v>
      </c>
      <c r="C278" s="259"/>
      <c r="D278" s="325"/>
      <c r="E278" s="259">
        <v>1</v>
      </c>
      <c r="F278" s="325" t="s">
        <v>112</v>
      </c>
      <c r="G278" s="282" t="s">
        <v>200</v>
      </c>
      <c r="H278" s="435" t="s">
        <v>129</v>
      </c>
      <c r="I278" s="259" t="s">
        <v>724</v>
      </c>
      <c r="J278" s="325" t="s">
        <v>272</v>
      </c>
      <c r="K278" s="279">
        <v>4103060</v>
      </c>
      <c r="L278" s="325" t="s">
        <v>735</v>
      </c>
      <c r="M278" s="279">
        <v>410306000</v>
      </c>
      <c r="N278" s="333" t="s">
        <v>489</v>
      </c>
      <c r="O278" s="272" t="s">
        <v>67</v>
      </c>
      <c r="P278" s="272">
        <v>4</v>
      </c>
      <c r="Q278" s="272">
        <v>0</v>
      </c>
      <c r="R278" s="281">
        <v>2024003630064</v>
      </c>
      <c r="S278" s="325" t="s">
        <v>738</v>
      </c>
      <c r="T278" s="328"/>
      <c r="U278" s="328"/>
      <c r="V278" s="328"/>
      <c r="W278" s="328"/>
      <c r="X278" s="328"/>
      <c r="Y278" s="328"/>
      <c r="Z278" s="328"/>
      <c r="AA278" s="328"/>
      <c r="AB278" s="328"/>
      <c r="AC278" s="328"/>
      <c r="AD278" s="328"/>
      <c r="AE278" s="328"/>
      <c r="AF278" s="328"/>
      <c r="AG278" s="328"/>
      <c r="AH278" s="328"/>
      <c r="AI278" s="328"/>
      <c r="AJ278" s="328"/>
      <c r="AK278" s="328"/>
      <c r="AL278" s="328">
        <v>130000000</v>
      </c>
      <c r="AM278" s="328">
        <v>130000000</v>
      </c>
      <c r="AN278" s="328">
        <v>130000000</v>
      </c>
      <c r="AO278" s="328"/>
      <c r="AP278" s="328"/>
      <c r="AQ278" s="328"/>
      <c r="AR278" s="328"/>
      <c r="AS278" s="328"/>
      <c r="AT278" s="328"/>
      <c r="AU278" s="328">
        <f t="shared" si="16"/>
        <v>130000000</v>
      </c>
      <c r="AV278" s="328">
        <f t="shared" si="17"/>
        <v>130000000</v>
      </c>
      <c r="AW278" s="328">
        <f t="shared" si="18"/>
        <v>130000000</v>
      </c>
      <c r="AX278" s="330" t="s">
        <v>679</v>
      </c>
      <c r="AY278" s="331"/>
      <c r="AZ278" s="331"/>
      <c r="BA278" s="331"/>
      <c r="BB278" s="331"/>
      <c r="BC278" s="331"/>
      <c r="BD278" s="331"/>
      <c r="BE278" s="331"/>
      <c r="BF278" s="331"/>
      <c r="BG278" s="331"/>
      <c r="BH278" s="331"/>
      <c r="BI278" s="331"/>
      <c r="BJ278" s="331"/>
      <c r="BK278" s="331"/>
      <c r="BL278" s="331"/>
      <c r="BM278" s="331"/>
      <c r="BN278" s="331"/>
      <c r="BO278" s="331"/>
      <c r="BP278" s="331"/>
      <c r="BQ278" s="331"/>
      <c r="BR278" s="331"/>
      <c r="BS278" s="331"/>
      <c r="BT278" s="331"/>
      <c r="BU278" s="331"/>
      <c r="BV278" s="331"/>
      <c r="BW278" s="331"/>
      <c r="BX278" s="331"/>
      <c r="BY278" s="331"/>
      <c r="BZ278" s="331"/>
      <c r="CA278" s="331"/>
      <c r="CB278" s="331"/>
      <c r="CC278" s="331"/>
      <c r="CD278" s="331"/>
      <c r="CE278" s="331"/>
      <c r="CF278" s="331"/>
      <c r="CG278" s="331"/>
      <c r="CH278" s="331"/>
      <c r="CI278" s="331"/>
      <c r="CJ278" s="331"/>
      <c r="CK278" s="331"/>
      <c r="CL278" s="331"/>
      <c r="CM278" s="331"/>
      <c r="CN278" s="331"/>
      <c r="CO278" s="331"/>
      <c r="CP278" s="331"/>
      <c r="CQ278" s="331"/>
      <c r="CR278" s="331"/>
      <c r="CS278" s="331"/>
      <c r="CT278" s="331"/>
      <c r="CU278" s="331"/>
      <c r="CV278" s="331"/>
      <c r="CW278" s="331"/>
      <c r="CX278" s="331"/>
      <c r="CY278" s="331"/>
      <c r="CZ278" s="331"/>
      <c r="DA278" s="331"/>
      <c r="DB278" s="331"/>
      <c r="DC278" s="331"/>
      <c r="DD278" s="331"/>
      <c r="DE278" s="331"/>
      <c r="DF278" s="331"/>
      <c r="DG278" s="331"/>
      <c r="DH278" s="331"/>
      <c r="DI278" s="331"/>
      <c r="DJ278" s="331"/>
      <c r="DK278" s="331"/>
      <c r="DL278" s="331"/>
      <c r="DM278" s="331"/>
      <c r="DN278" s="331"/>
      <c r="DO278" s="331"/>
      <c r="DP278" s="331"/>
      <c r="DQ278" s="331"/>
      <c r="DR278" s="331"/>
      <c r="DS278" s="331"/>
      <c r="DT278" s="331"/>
      <c r="DU278" s="331"/>
      <c r="DV278" s="331"/>
      <c r="DW278" s="331"/>
      <c r="DX278" s="331"/>
      <c r="DY278" s="331"/>
    </row>
    <row r="279" spans="1:129" s="331" customFormat="1" ht="63.75" x14ac:dyDescent="0.25">
      <c r="A279" s="257">
        <v>316</v>
      </c>
      <c r="B279" s="376" t="s">
        <v>674</v>
      </c>
      <c r="C279" s="257">
        <v>1</v>
      </c>
      <c r="D279" s="376" t="s">
        <v>105</v>
      </c>
      <c r="E279" s="257">
        <v>1</v>
      </c>
      <c r="F279" s="376" t="s">
        <v>112</v>
      </c>
      <c r="G279" s="257">
        <v>41</v>
      </c>
      <c r="H279" s="376" t="s">
        <v>129</v>
      </c>
      <c r="I279" s="257">
        <v>4103</v>
      </c>
      <c r="J279" s="376" t="s">
        <v>268</v>
      </c>
      <c r="K279" s="256">
        <v>4103052</v>
      </c>
      <c r="L279" s="376" t="s">
        <v>269</v>
      </c>
      <c r="M279" s="256">
        <v>410305202</v>
      </c>
      <c r="N279" s="388" t="s">
        <v>739</v>
      </c>
      <c r="O279" s="280" t="s">
        <v>26</v>
      </c>
      <c r="P279" s="280">
        <v>1</v>
      </c>
      <c r="Q279" s="280">
        <v>0.3</v>
      </c>
      <c r="R279" s="380">
        <v>2020003630037</v>
      </c>
      <c r="S279" s="376" t="s">
        <v>740</v>
      </c>
      <c r="T279" s="381"/>
      <c r="U279" s="381"/>
      <c r="V279" s="381"/>
      <c r="W279" s="381"/>
      <c r="X279" s="381"/>
      <c r="Y279" s="381"/>
      <c r="Z279" s="381"/>
      <c r="AA279" s="381"/>
      <c r="AB279" s="381"/>
      <c r="AC279" s="381"/>
      <c r="AD279" s="381"/>
      <c r="AE279" s="381"/>
      <c r="AF279" s="381"/>
      <c r="AG279" s="381"/>
      <c r="AH279" s="381"/>
      <c r="AI279" s="381"/>
      <c r="AJ279" s="381"/>
      <c r="AK279" s="381"/>
      <c r="AL279" s="381">
        <f>80000000+50000000-92408000</f>
        <v>37592000</v>
      </c>
      <c r="AM279" s="381">
        <v>37592000</v>
      </c>
      <c r="AN279" s="381">
        <v>34592000</v>
      </c>
      <c r="AO279" s="381"/>
      <c r="AP279" s="381"/>
      <c r="AQ279" s="381"/>
      <c r="AR279" s="381"/>
      <c r="AS279" s="381"/>
      <c r="AT279" s="381"/>
      <c r="AU279" s="381">
        <f t="shared" si="16"/>
        <v>37592000</v>
      </c>
      <c r="AV279" s="381">
        <f t="shared" si="17"/>
        <v>37592000</v>
      </c>
      <c r="AW279" s="381">
        <f t="shared" si="18"/>
        <v>34592000</v>
      </c>
      <c r="AX279" s="473" t="s">
        <v>679</v>
      </c>
    </row>
    <row r="280" spans="1:129" s="332" customFormat="1" ht="63.75" x14ac:dyDescent="0.25">
      <c r="A280" s="259">
        <v>316</v>
      </c>
      <c r="B280" s="325" t="s">
        <v>674</v>
      </c>
      <c r="C280" s="259"/>
      <c r="D280" s="325"/>
      <c r="E280" s="259">
        <v>1</v>
      </c>
      <c r="F280" s="325" t="s">
        <v>112</v>
      </c>
      <c r="G280" s="282" t="s">
        <v>200</v>
      </c>
      <c r="H280" s="435" t="s">
        <v>129</v>
      </c>
      <c r="I280" s="282" t="s">
        <v>724</v>
      </c>
      <c r="J280" s="385" t="s">
        <v>272</v>
      </c>
      <c r="K280" s="259">
        <v>4103052</v>
      </c>
      <c r="L280" s="325" t="s">
        <v>269</v>
      </c>
      <c r="M280" s="272">
        <v>410305202</v>
      </c>
      <c r="N280" s="333" t="s">
        <v>725</v>
      </c>
      <c r="O280" s="272" t="s">
        <v>26</v>
      </c>
      <c r="P280" s="272">
        <v>1</v>
      </c>
      <c r="Q280" s="272">
        <v>0.3</v>
      </c>
      <c r="R280" s="281">
        <v>2024003630071</v>
      </c>
      <c r="S280" s="333" t="s">
        <v>741</v>
      </c>
      <c r="T280" s="328"/>
      <c r="U280" s="328"/>
      <c r="V280" s="328"/>
      <c r="W280" s="328"/>
      <c r="X280" s="328"/>
      <c r="Y280" s="328"/>
      <c r="Z280" s="328"/>
      <c r="AA280" s="328"/>
      <c r="AB280" s="328"/>
      <c r="AC280" s="328"/>
      <c r="AD280" s="328"/>
      <c r="AE280" s="328"/>
      <c r="AF280" s="328"/>
      <c r="AG280" s="328"/>
      <c r="AH280" s="328"/>
      <c r="AI280" s="328"/>
      <c r="AJ280" s="328"/>
      <c r="AK280" s="328"/>
      <c r="AL280" s="328">
        <v>94000000</v>
      </c>
      <c r="AM280" s="328">
        <v>16800000</v>
      </c>
      <c r="AN280" s="328">
        <v>13100000</v>
      </c>
      <c r="AO280" s="328"/>
      <c r="AP280" s="328"/>
      <c r="AQ280" s="328"/>
      <c r="AR280" s="328"/>
      <c r="AS280" s="328"/>
      <c r="AT280" s="328"/>
      <c r="AU280" s="328">
        <f t="shared" si="16"/>
        <v>94000000</v>
      </c>
      <c r="AV280" s="328">
        <f t="shared" si="17"/>
        <v>16800000</v>
      </c>
      <c r="AW280" s="328">
        <f t="shared" si="18"/>
        <v>13100000</v>
      </c>
      <c r="AX280" s="330" t="s">
        <v>679</v>
      </c>
      <c r="AY280" s="331"/>
      <c r="AZ280" s="331"/>
      <c r="BA280" s="331"/>
      <c r="BB280" s="331"/>
      <c r="BC280" s="331"/>
      <c r="BD280" s="331"/>
      <c r="BE280" s="331"/>
      <c r="BF280" s="331"/>
      <c r="BG280" s="331"/>
      <c r="BH280" s="331"/>
      <c r="BI280" s="331"/>
      <c r="BJ280" s="331"/>
      <c r="BK280" s="331"/>
      <c r="BL280" s="331"/>
      <c r="BM280" s="331"/>
      <c r="BN280" s="331"/>
      <c r="BO280" s="331"/>
      <c r="BP280" s="331"/>
      <c r="BQ280" s="331"/>
      <c r="BR280" s="331"/>
      <c r="BS280" s="331"/>
      <c r="BT280" s="331"/>
      <c r="BU280" s="331"/>
      <c r="BV280" s="331"/>
      <c r="BW280" s="331"/>
      <c r="BX280" s="331"/>
      <c r="BY280" s="331"/>
      <c r="BZ280" s="331"/>
      <c r="CA280" s="331"/>
      <c r="CB280" s="331"/>
      <c r="CC280" s="331"/>
      <c r="CD280" s="331"/>
      <c r="CE280" s="331"/>
      <c r="CF280" s="331"/>
      <c r="CG280" s="331"/>
      <c r="CH280" s="331"/>
      <c r="CI280" s="331"/>
      <c r="CJ280" s="331"/>
      <c r="CK280" s="331"/>
      <c r="CL280" s="331"/>
      <c r="CM280" s="331"/>
      <c r="CN280" s="331"/>
      <c r="CO280" s="331"/>
      <c r="CP280" s="331"/>
      <c r="CQ280" s="331"/>
      <c r="CR280" s="331"/>
      <c r="CS280" s="331"/>
      <c r="CT280" s="331"/>
      <c r="CU280" s="331"/>
      <c r="CV280" s="331"/>
      <c r="CW280" s="331"/>
      <c r="CX280" s="331"/>
      <c r="CY280" s="331"/>
      <c r="CZ280" s="331"/>
      <c r="DA280" s="331"/>
      <c r="DB280" s="331"/>
      <c r="DC280" s="331"/>
      <c r="DD280" s="331"/>
      <c r="DE280" s="331"/>
      <c r="DF280" s="331"/>
      <c r="DG280" s="331"/>
      <c r="DH280" s="331"/>
      <c r="DI280" s="331"/>
      <c r="DJ280" s="331"/>
      <c r="DK280" s="331"/>
      <c r="DL280" s="331"/>
      <c r="DM280" s="331"/>
      <c r="DN280" s="331"/>
      <c r="DO280" s="331"/>
      <c r="DP280" s="331"/>
      <c r="DQ280" s="331"/>
      <c r="DR280" s="331"/>
      <c r="DS280" s="331"/>
      <c r="DT280" s="331"/>
      <c r="DU280" s="331"/>
      <c r="DV280" s="331"/>
      <c r="DW280" s="331"/>
      <c r="DX280" s="331"/>
      <c r="DY280" s="331"/>
    </row>
    <row r="281" spans="1:129" s="331" customFormat="1" ht="51" x14ac:dyDescent="0.25">
      <c r="A281" s="257">
        <v>316</v>
      </c>
      <c r="B281" s="376" t="s">
        <v>674</v>
      </c>
      <c r="C281" s="257">
        <v>1</v>
      </c>
      <c r="D281" s="376" t="s">
        <v>105</v>
      </c>
      <c r="E281" s="257">
        <v>1</v>
      </c>
      <c r="F281" s="376" t="s">
        <v>112</v>
      </c>
      <c r="G281" s="257">
        <v>41</v>
      </c>
      <c r="H281" s="376" t="s">
        <v>129</v>
      </c>
      <c r="I281" s="257">
        <v>4104</v>
      </c>
      <c r="J281" s="376" t="s">
        <v>130</v>
      </c>
      <c r="K281" s="256">
        <v>4104020</v>
      </c>
      <c r="L281" s="376" t="s">
        <v>742</v>
      </c>
      <c r="M281" s="256">
        <v>410402000</v>
      </c>
      <c r="N281" s="388" t="s">
        <v>743</v>
      </c>
      <c r="O281" s="280" t="s">
        <v>26</v>
      </c>
      <c r="P281" s="280">
        <v>12</v>
      </c>
      <c r="Q281" s="280">
        <v>7</v>
      </c>
      <c r="R281" s="380">
        <v>2020003630035</v>
      </c>
      <c r="S281" s="376" t="s">
        <v>744</v>
      </c>
      <c r="T281" s="381"/>
      <c r="U281" s="381"/>
      <c r="V281" s="381"/>
      <c r="W281" s="381"/>
      <c r="X281" s="381"/>
      <c r="Y281" s="381"/>
      <c r="Z281" s="381"/>
      <c r="AA281" s="381"/>
      <c r="AB281" s="381"/>
      <c r="AC281" s="381"/>
      <c r="AD281" s="381"/>
      <c r="AE281" s="381"/>
      <c r="AF281" s="381"/>
      <c r="AG281" s="381"/>
      <c r="AH281" s="381"/>
      <c r="AI281" s="381"/>
      <c r="AJ281" s="381"/>
      <c r="AK281" s="381"/>
      <c r="AL281" s="381">
        <f>190000000+50000000-90480500</f>
        <v>149519500</v>
      </c>
      <c r="AM281" s="381">
        <v>149519500</v>
      </c>
      <c r="AN281" s="381">
        <v>149519500</v>
      </c>
      <c r="AO281" s="381"/>
      <c r="AP281" s="381"/>
      <c r="AQ281" s="381"/>
      <c r="AR281" s="381"/>
      <c r="AS281" s="381"/>
      <c r="AT281" s="381"/>
      <c r="AU281" s="381">
        <f t="shared" si="16"/>
        <v>149519500</v>
      </c>
      <c r="AV281" s="381">
        <f t="shared" si="17"/>
        <v>149519500</v>
      </c>
      <c r="AW281" s="381">
        <f t="shared" si="18"/>
        <v>149519500</v>
      </c>
      <c r="AX281" s="473" t="s">
        <v>679</v>
      </c>
    </row>
    <row r="282" spans="1:129" s="332" customFormat="1" ht="51" x14ac:dyDescent="0.25">
      <c r="A282" s="259">
        <v>316</v>
      </c>
      <c r="B282" s="325" t="s">
        <v>674</v>
      </c>
      <c r="C282" s="259"/>
      <c r="D282" s="325"/>
      <c r="E282" s="259">
        <v>1</v>
      </c>
      <c r="F282" s="325" t="s">
        <v>112</v>
      </c>
      <c r="G282" s="282" t="s">
        <v>200</v>
      </c>
      <c r="H282" s="435" t="s">
        <v>129</v>
      </c>
      <c r="I282" s="282" t="s">
        <v>207</v>
      </c>
      <c r="J282" s="385" t="s">
        <v>130</v>
      </c>
      <c r="K282" s="279">
        <v>4104020</v>
      </c>
      <c r="L282" s="325" t="s">
        <v>742</v>
      </c>
      <c r="M282" s="279">
        <v>410402000</v>
      </c>
      <c r="N282" s="333" t="s">
        <v>743</v>
      </c>
      <c r="O282" s="272" t="s">
        <v>67</v>
      </c>
      <c r="P282" s="272">
        <v>500</v>
      </c>
      <c r="Q282" s="272">
        <v>363</v>
      </c>
      <c r="R282" s="281">
        <v>2024003630048</v>
      </c>
      <c r="S282" s="325" t="s">
        <v>745</v>
      </c>
      <c r="T282" s="328"/>
      <c r="U282" s="328"/>
      <c r="V282" s="328"/>
      <c r="W282" s="328"/>
      <c r="X282" s="328"/>
      <c r="Y282" s="328"/>
      <c r="Z282" s="328"/>
      <c r="AA282" s="328"/>
      <c r="AB282" s="328"/>
      <c r="AC282" s="328"/>
      <c r="AD282" s="328"/>
      <c r="AE282" s="328"/>
      <c r="AF282" s="328"/>
      <c r="AG282" s="328"/>
      <c r="AH282" s="328"/>
      <c r="AI282" s="328"/>
      <c r="AJ282" s="328"/>
      <c r="AK282" s="328"/>
      <c r="AL282" s="328">
        <f>270480500</f>
        <v>270480500</v>
      </c>
      <c r="AM282" s="328">
        <v>100416667</v>
      </c>
      <c r="AN282" s="328">
        <v>76480000</v>
      </c>
      <c r="AO282" s="328"/>
      <c r="AP282" s="328"/>
      <c r="AQ282" s="328"/>
      <c r="AR282" s="328"/>
      <c r="AS282" s="328"/>
      <c r="AT282" s="328"/>
      <c r="AU282" s="328">
        <f t="shared" si="16"/>
        <v>270480500</v>
      </c>
      <c r="AV282" s="328">
        <f t="shared" si="17"/>
        <v>100416667</v>
      </c>
      <c r="AW282" s="328">
        <f t="shared" si="18"/>
        <v>76480000</v>
      </c>
      <c r="AX282" s="330" t="s">
        <v>679</v>
      </c>
      <c r="AY282" s="331"/>
      <c r="AZ282" s="331"/>
      <c r="BA282" s="331"/>
      <c r="BB282" s="331"/>
      <c r="BC282" s="331"/>
      <c r="BD282" s="331"/>
      <c r="BE282" s="331"/>
      <c r="BF282" s="331"/>
      <c r="BG282" s="331"/>
      <c r="BH282" s="331"/>
      <c r="BI282" s="331"/>
      <c r="BJ282" s="331"/>
      <c r="BK282" s="331"/>
      <c r="BL282" s="331"/>
      <c r="BM282" s="331"/>
      <c r="BN282" s="331"/>
      <c r="BO282" s="331"/>
      <c r="BP282" s="331"/>
      <c r="BQ282" s="331"/>
      <c r="BR282" s="331"/>
      <c r="BS282" s="331"/>
      <c r="BT282" s="331"/>
      <c r="BU282" s="331"/>
      <c r="BV282" s="331"/>
      <c r="BW282" s="331"/>
      <c r="BX282" s="331"/>
      <c r="BY282" s="331"/>
      <c r="BZ282" s="331"/>
      <c r="CA282" s="331"/>
      <c r="CB282" s="331"/>
      <c r="CC282" s="331"/>
      <c r="CD282" s="331"/>
      <c r="CE282" s="331"/>
      <c r="CF282" s="331"/>
      <c r="CG282" s="331"/>
      <c r="CH282" s="331"/>
      <c r="CI282" s="331"/>
      <c r="CJ282" s="331"/>
      <c r="CK282" s="331"/>
      <c r="CL282" s="331"/>
      <c r="CM282" s="331"/>
      <c r="CN282" s="331"/>
      <c r="CO282" s="331"/>
      <c r="CP282" s="331"/>
      <c r="CQ282" s="331"/>
      <c r="CR282" s="331"/>
      <c r="CS282" s="331"/>
      <c r="CT282" s="331"/>
      <c r="CU282" s="331"/>
      <c r="CV282" s="331"/>
      <c r="CW282" s="331"/>
      <c r="CX282" s="331"/>
      <c r="CY282" s="331"/>
      <c r="CZ282" s="331"/>
      <c r="DA282" s="331"/>
      <c r="DB282" s="331"/>
      <c r="DC282" s="331"/>
      <c r="DD282" s="331"/>
      <c r="DE282" s="331"/>
      <c r="DF282" s="331"/>
      <c r="DG282" s="331"/>
      <c r="DH282" s="331"/>
      <c r="DI282" s="331"/>
      <c r="DJ282" s="331"/>
      <c r="DK282" s="331"/>
      <c r="DL282" s="331"/>
      <c r="DM282" s="331"/>
      <c r="DN282" s="331"/>
      <c r="DO282" s="331"/>
      <c r="DP282" s="331"/>
      <c r="DQ282" s="331"/>
      <c r="DR282" s="331"/>
      <c r="DS282" s="331"/>
      <c r="DT282" s="331"/>
      <c r="DU282" s="331"/>
      <c r="DV282" s="331"/>
      <c r="DW282" s="331"/>
      <c r="DX282" s="331"/>
      <c r="DY282" s="331"/>
    </row>
    <row r="283" spans="1:129" s="331" customFormat="1" ht="51" x14ac:dyDescent="0.25">
      <c r="A283" s="257">
        <v>316</v>
      </c>
      <c r="B283" s="376" t="s">
        <v>674</v>
      </c>
      <c r="C283" s="257">
        <v>1</v>
      </c>
      <c r="D283" s="376" t="s">
        <v>105</v>
      </c>
      <c r="E283" s="257">
        <v>1</v>
      </c>
      <c r="F283" s="376" t="s">
        <v>112</v>
      </c>
      <c r="G283" s="257">
        <v>41</v>
      </c>
      <c r="H283" s="376" t="s">
        <v>129</v>
      </c>
      <c r="I283" s="257">
        <v>4104</v>
      </c>
      <c r="J283" s="376" t="s">
        <v>130</v>
      </c>
      <c r="K283" s="256">
        <v>4104027</v>
      </c>
      <c r="L283" s="376" t="s">
        <v>746</v>
      </c>
      <c r="M283" s="256">
        <v>410402700</v>
      </c>
      <c r="N283" s="388" t="s">
        <v>747</v>
      </c>
      <c r="O283" s="280" t="s">
        <v>26</v>
      </c>
      <c r="P283" s="280">
        <v>12</v>
      </c>
      <c r="Q283" s="280">
        <v>8</v>
      </c>
      <c r="R283" s="380">
        <v>2020003630012</v>
      </c>
      <c r="S283" s="376" t="s">
        <v>748</v>
      </c>
      <c r="T283" s="381"/>
      <c r="U283" s="381"/>
      <c r="V283" s="381"/>
      <c r="W283" s="381"/>
      <c r="X283" s="381"/>
      <c r="Y283" s="381"/>
      <c r="Z283" s="381"/>
      <c r="AA283" s="381"/>
      <c r="AB283" s="381"/>
      <c r="AC283" s="381"/>
      <c r="AD283" s="381"/>
      <c r="AE283" s="381"/>
      <c r="AF283" s="381"/>
      <c r="AG283" s="381"/>
      <c r="AH283" s="381"/>
      <c r="AI283" s="381"/>
      <c r="AJ283" s="381"/>
      <c r="AK283" s="381"/>
      <c r="AL283" s="381">
        <f>60000000+110000000-24137500</f>
        <v>145862500</v>
      </c>
      <c r="AM283" s="381">
        <v>145862500</v>
      </c>
      <c r="AN283" s="381">
        <v>145862500</v>
      </c>
      <c r="AO283" s="381"/>
      <c r="AP283" s="381"/>
      <c r="AQ283" s="381"/>
      <c r="AR283" s="381"/>
      <c r="AS283" s="381"/>
      <c r="AT283" s="381"/>
      <c r="AU283" s="381">
        <f t="shared" si="16"/>
        <v>145862500</v>
      </c>
      <c r="AV283" s="381">
        <f t="shared" si="17"/>
        <v>145862500</v>
      </c>
      <c r="AW283" s="381">
        <f t="shared" si="18"/>
        <v>145862500</v>
      </c>
      <c r="AX283" s="473" t="s">
        <v>679</v>
      </c>
    </row>
    <row r="284" spans="1:129" s="332" customFormat="1" ht="51" x14ac:dyDescent="0.25">
      <c r="A284" s="259">
        <v>316</v>
      </c>
      <c r="B284" s="325" t="s">
        <v>674</v>
      </c>
      <c r="C284" s="259"/>
      <c r="D284" s="325"/>
      <c r="E284" s="259">
        <v>1</v>
      </c>
      <c r="F284" s="325" t="s">
        <v>112</v>
      </c>
      <c r="G284" s="259" t="s">
        <v>200</v>
      </c>
      <c r="H284" s="435" t="s">
        <v>129</v>
      </c>
      <c r="I284" s="282" t="s">
        <v>207</v>
      </c>
      <c r="J284" s="385" t="s">
        <v>130</v>
      </c>
      <c r="K284" s="279">
        <v>4104027</v>
      </c>
      <c r="L284" s="325" t="s">
        <v>749</v>
      </c>
      <c r="M284" s="279">
        <v>410402700</v>
      </c>
      <c r="N284" s="333" t="s">
        <v>750</v>
      </c>
      <c r="O284" s="272" t="s">
        <v>67</v>
      </c>
      <c r="P284" s="272">
        <v>300</v>
      </c>
      <c r="Q284" s="272">
        <v>180</v>
      </c>
      <c r="R284" s="281">
        <v>2024003630063</v>
      </c>
      <c r="S284" s="325" t="s">
        <v>751</v>
      </c>
      <c r="T284" s="328"/>
      <c r="U284" s="328"/>
      <c r="V284" s="328"/>
      <c r="W284" s="328"/>
      <c r="X284" s="328"/>
      <c r="Y284" s="328"/>
      <c r="Z284" s="328"/>
      <c r="AA284" s="328"/>
      <c r="AB284" s="328"/>
      <c r="AC284" s="328"/>
      <c r="AD284" s="328"/>
      <c r="AE284" s="328"/>
      <c r="AF284" s="328"/>
      <c r="AG284" s="328"/>
      <c r="AH284" s="328"/>
      <c r="AI284" s="328"/>
      <c r="AJ284" s="328"/>
      <c r="AK284" s="328"/>
      <c r="AL284" s="328">
        <v>36000000</v>
      </c>
      <c r="AM284" s="328">
        <v>34163333</v>
      </c>
      <c r="AN284" s="328">
        <v>14800000</v>
      </c>
      <c r="AO284" s="328"/>
      <c r="AP284" s="328"/>
      <c r="AQ284" s="328"/>
      <c r="AR284" s="328"/>
      <c r="AS284" s="328"/>
      <c r="AT284" s="328"/>
      <c r="AU284" s="328">
        <f t="shared" si="16"/>
        <v>36000000</v>
      </c>
      <c r="AV284" s="328">
        <f t="shared" si="17"/>
        <v>34163333</v>
      </c>
      <c r="AW284" s="328">
        <f t="shared" si="18"/>
        <v>14800000</v>
      </c>
      <c r="AX284" s="330" t="s">
        <v>679</v>
      </c>
      <c r="AY284" s="331"/>
      <c r="AZ284" s="331"/>
      <c r="BA284" s="331"/>
      <c r="BB284" s="331"/>
      <c r="BC284" s="331"/>
      <c r="BD284" s="331"/>
      <c r="BE284" s="331"/>
      <c r="BF284" s="331"/>
      <c r="BG284" s="331"/>
      <c r="BH284" s="331"/>
      <c r="BI284" s="331"/>
      <c r="BJ284" s="331"/>
      <c r="BK284" s="331"/>
      <c r="BL284" s="331"/>
      <c r="BM284" s="331"/>
      <c r="BN284" s="331"/>
      <c r="BO284" s="331"/>
      <c r="BP284" s="331"/>
      <c r="BQ284" s="331"/>
      <c r="BR284" s="331"/>
      <c r="BS284" s="331"/>
      <c r="BT284" s="331"/>
      <c r="BU284" s="331"/>
      <c r="BV284" s="331"/>
      <c r="BW284" s="331"/>
      <c r="BX284" s="331"/>
      <c r="BY284" s="331"/>
      <c r="BZ284" s="331"/>
      <c r="CA284" s="331"/>
      <c r="CB284" s="331"/>
      <c r="CC284" s="331"/>
      <c r="CD284" s="331"/>
      <c r="CE284" s="331"/>
      <c r="CF284" s="331"/>
      <c r="CG284" s="331"/>
      <c r="CH284" s="331"/>
      <c r="CI284" s="331"/>
      <c r="CJ284" s="331"/>
      <c r="CK284" s="331"/>
      <c r="CL284" s="331"/>
      <c r="CM284" s="331"/>
      <c r="CN284" s="331"/>
      <c r="CO284" s="331"/>
      <c r="CP284" s="331"/>
      <c r="CQ284" s="331"/>
      <c r="CR284" s="331"/>
      <c r="CS284" s="331"/>
      <c r="CT284" s="331"/>
      <c r="CU284" s="331"/>
      <c r="CV284" s="331"/>
      <c r="CW284" s="331"/>
      <c r="CX284" s="331"/>
      <c r="CY284" s="331"/>
      <c r="CZ284" s="331"/>
      <c r="DA284" s="331"/>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row>
    <row r="285" spans="1:129" s="459" customFormat="1" ht="51" x14ac:dyDescent="0.25">
      <c r="A285" s="292">
        <v>316</v>
      </c>
      <c r="B285" s="454" t="s">
        <v>674</v>
      </c>
      <c r="C285" s="292">
        <v>1</v>
      </c>
      <c r="D285" s="454" t="s">
        <v>105</v>
      </c>
      <c r="E285" s="292">
        <v>1</v>
      </c>
      <c r="F285" s="454" t="s">
        <v>112</v>
      </c>
      <c r="G285" s="292">
        <v>41</v>
      </c>
      <c r="H285" s="454" t="s">
        <v>129</v>
      </c>
      <c r="I285" s="292">
        <v>4104</v>
      </c>
      <c r="J285" s="454" t="s">
        <v>130</v>
      </c>
      <c r="K285" s="295">
        <v>4104015</v>
      </c>
      <c r="L285" s="454" t="s">
        <v>752</v>
      </c>
      <c r="M285" s="293">
        <v>410401500</v>
      </c>
      <c r="N285" s="453" t="s">
        <v>753</v>
      </c>
      <c r="O285" s="299" t="s">
        <v>26</v>
      </c>
      <c r="P285" s="299">
        <v>7500</v>
      </c>
      <c r="Q285" s="299">
        <v>2261</v>
      </c>
      <c r="R285" s="337">
        <v>2020003630109</v>
      </c>
      <c r="S285" s="454" t="s">
        <v>754</v>
      </c>
      <c r="T285" s="457"/>
      <c r="U285" s="457"/>
      <c r="V285" s="457"/>
      <c r="W285" s="457"/>
      <c r="X285" s="457"/>
      <c r="Y285" s="457"/>
      <c r="Z285" s="457"/>
      <c r="AA285" s="457"/>
      <c r="AB285" s="457"/>
      <c r="AC285" s="457"/>
      <c r="AD285" s="457"/>
      <c r="AE285" s="457"/>
      <c r="AF285" s="457"/>
      <c r="AG285" s="457"/>
      <c r="AH285" s="457"/>
      <c r="AI285" s="457"/>
      <c r="AJ285" s="457"/>
      <c r="AK285" s="457"/>
      <c r="AL285" s="457">
        <f>163575038.4+50000000-55095038.4</f>
        <v>158480000</v>
      </c>
      <c r="AM285" s="457">
        <v>158480000</v>
      </c>
      <c r="AN285" s="457">
        <v>157629999.34</v>
      </c>
      <c r="AO285" s="457"/>
      <c r="AP285" s="457"/>
      <c r="AQ285" s="457"/>
      <c r="AR285" s="457"/>
      <c r="AS285" s="457"/>
      <c r="AT285" s="457"/>
      <c r="AU285" s="457">
        <f t="shared" si="16"/>
        <v>158480000</v>
      </c>
      <c r="AV285" s="457">
        <f t="shared" si="17"/>
        <v>158480000</v>
      </c>
      <c r="AW285" s="457">
        <f t="shared" si="18"/>
        <v>157629999.34</v>
      </c>
      <c r="AX285" s="475" t="s">
        <v>679</v>
      </c>
    </row>
    <row r="286" spans="1:129" s="459" customFormat="1" ht="51" x14ac:dyDescent="0.25">
      <c r="A286" s="292">
        <v>316</v>
      </c>
      <c r="B286" s="454" t="s">
        <v>674</v>
      </c>
      <c r="C286" s="292">
        <v>1</v>
      </c>
      <c r="D286" s="454" t="s">
        <v>105</v>
      </c>
      <c r="E286" s="292">
        <v>1</v>
      </c>
      <c r="F286" s="454" t="s">
        <v>112</v>
      </c>
      <c r="G286" s="292">
        <v>41</v>
      </c>
      <c r="H286" s="454" t="s">
        <v>129</v>
      </c>
      <c r="I286" s="292">
        <v>4104</v>
      </c>
      <c r="J286" s="454" t="s">
        <v>130</v>
      </c>
      <c r="K286" s="292">
        <v>4104008</v>
      </c>
      <c r="L286" s="496" t="s">
        <v>755</v>
      </c>
      <c r="M286" s="298">
        <v>410400800</v>
      </c>
      <c r="N286" s="497" t="s">
        <v>756</v>
      </c>
      <c r="O286" s="299" t="s">
        <v>26</v>
      </c>
      <c r="P286" s="299">
        <v>12</v>
      </c>
      <c r="Q286" s="299">
        <v>12</v>
      </c>
      <c r="R286" s="337">
        <v>2020003630109</v>
      </c>
      <c r="S286" s="454" t="s">
        <v>754</v>
      </c>
      <c r="T286" s="457">
        <f>7749432426.2-3846665120</f>
        <v>3902767306.1999998</v>
      </c>
      <c r="U286" s="457">
        <v>3902767306.1999998</v>
      </c>
      <c r="V286" s="457">
        <v>3902767306.1999998</v>
      </c>
      <c r="W286" s="457"/>
      <c r="X286" s="457"/>
      <c r="Y286" s="457"/>
      <c r="Z286" s="457"/>
      <c r="AA286" s="457"/>
      <c r="AB286" s="457"/>
      <c r="AC286" s="457"/>
      <c r="AD286" s="457"/>
      <c r="AE286" s="457"/>
      <c r="AF286" s="457"/>
      <c r="AG286" s="457"/>
      <c r="AH286" s="457"/>
      <c r="AI286" s="457"/>
      <c r="AJ286" s="457"/>
      <c r="AK286" s="457"/>
      <c r="AL286" s="457"/>
      <c r="AM286" s="457"/>
      <c r="AN286" s="457"/>
      <c r="AO286" s="457"/>
      <c r="AP286" s="457"/>
      <c r="AQ286" s="457"/>
      <c r="AR286" s="457"/>
      <c r="AS286" s="457"/>
      <c r="AT286" s="457"/>
      <c r="AU286" s="457">
        <f t="shared" si="16"/>
        <v>3902767306.1999998</v>
      </c>
      <c r="AV286" s="457">
        <f t="shared" si="17"/>
        <v>3902767306.1999998</v>
      </c>
      <c r="AW286" s="457">
        <f t="shared" si="18"/>
        <v>3902767306.1999998</v>
      </c>
      <c r="AX286" s="475" t="s">
        <v>679</v>
      </c>
    </row>
    <row r="287" spans="1:129" s="332" customFormat="1" ht="51" x14ac:dyDescent="0.25">
      <c r="A287" s="325">
        <v>316</v>
      </c>
      <c r="B287" s="325" t="s">
        <v>674</v>
      </c>
      <c r="C287" s="259"/>
      <c r="D287" s="325"/>
      <c r="E287" s="259">
        <v>1</v>
      </c>
      <c r="F287" s="325" t="s">
        <v>112</v>
      </c>
      <c r="G287" s="282" t="s">
        <v>200</v>
      </c>
      <c r="H287" s="435" t="s">
        <v>129</v>
      </c>
      <c r="I287" s="282" t="s">
        <v>207</v>
      </c>
      <c r="J287" s="385" t="s">
        <v>130</v>
      </c>
      <c r="K287" s="282" t="s">
        <v>757</v>
      </c>
      <c r="L287" s="385" t="s">
        <v>755</v>
      </c>
      <c r="M287" s="282">
        <v>410400800</v>
      </c>
      <c r="N287" s="272" t="s">
        <v>756</v>
      </c>
      <c r="O287" s="272" t="s">
        <v>26</v>
      </c>
      <c r="P287" s="303">
        <v>7500</v>
      </c>
      <c r="Q287" s="303">
        <v>5825</v>
      </c>
      <c r="R287" s="281">
        <v>2024003630057</v>
      </c>
      <c r="S287" s="325" t="s">
        <v>758</v>
      </c>
      <c r="T287" s="328">
        <v>3846665120</v>
      </c>
      <c r="U287" s="328">
        <v>3188596959.9899998</v>
      </c>
      <c r="V287" s="328">
        <v>3188596959.9899998</v>
      </c>
      <c r="W287" s="328"/>
      <c r="X287" s="328"/>
      <c r="Y287" s="328"/>
      <c r="Z287" s="328"/>
      <c r="AA287" s="328"/>
      <c r="AB287" s="328"/>
      <c r="AC287" s="328"/>
      <c r="AD287" s="328"/>
      <c r="AE287" s="328"/>
      <c r="AF287" s="328"/>
      <c r="AG287" s="328"/>
      <c r="AH287" s="328"/>
      <c r="AI287" s="328"/>
      <c r="AJ287" s="328"/>
      <c r="AK287" s="328"/>
      <c r="AL287" s="328">
        <f>3951760158.4-3846665120</f>
        <v>105095038.4000001</v>
      </c>
      <c r="AM287" s="328">
        <v>94820000</v>
      </c>
      <c r="AN287" s="328">
        <v>78400000</v>
      </c>
      <c r="AO287" s="328"/>
      <c r="AP287" s="328"/>
      <c r="AQ287" s="328"/>
      <c r="AR287" s="328"/>
      <c r="AS287" s="328"/>
      <c r="AT287" s="328"/>
      <c r="AU287" s="328">
        <f t="shared" si="16"/>
        <v>3951760158.4000001</v>
      </c>
      <c r="AV287" s="328">
        <f t="shared" si="17"/>
        <v>3283416959.9899998</v>
      </c>
      <c r="AW287" s="328">
        <f t="shared" si="18"/>
        <v>3266996959.9899998</v>
      </c>
      <c r="AX287" s="330" t="s">
        <v>679</v>
      </c>
      <c r="AY287" s="331"/>
      <c r="AZ287" s="331"/>
      <c r="BA287" s="331"/>
      <c r="BB287" s="331"/>
      <c r="BC287" s="331"/>
      <c r="BD287" s="331"/>
      <c r="BE287" s="331"/>
      <c r="BF287" s="331"/>
      <c r="BG287" s="331"/>
      <c r="BH287" s="331"/>
      <c r="BI287" s="331"/>
      <c r="BJ287" s="331"/>
      <c r="BK287" s="331"/>
      <c r="BL287" s="331"/>
      <c r="BM287" s="331"/>
      <c r="BN287" s="331"/>
      <c r="BO287" s="331"/>
      <c r="BP287" s="331"/>
      <c r="BQ287" s="331"/>
      <c r="BR287" s="331"/>
      <c r="BS287" s="331"/>
      <c r="BT287" s="331"/>
      <c r="BU287" s="331"/>
      <c r="BV287" s="331"/>
      <c r="BW287" s="331"/>
      <c r="BX287" s="331"/>
      <c r="BY287" s="331"/>
      <c r="BZ287" s="331"/>
      <c r="CA287" s="331"/>
      <c r="CB287" s="331"/>
      <c r="CC287" s="331"/>
      <c r="CD287" s="331"/>
      <c r="CE287" s="331"/>
      <c r="CF287" s="331"/>
      <c r="CG287" s="331"/>
      <c r="CH287" s="331"/>
      <c r="CI287" s="331"/>
      <c r="CJ287" s="331"/>
      <c r="CK287" s="331"/>
      <c r="CL287" s="331"/>
      <c r="CM287" s="331"/>
      <c r="CN287" s="331"/>
      <c r="CO287" s="331"/>
      <c r="CP287" s="331"/>
      <c r="CQ287" s="331"/>
      <c r="CR287" s="331"/>
      <c r="CS287" s="331"/>
      <c r="CT287" s="331"/>
      <c r="CU287" s="331"/>
      <c r="CV287" s="331"/>
      <c r="CW287" s="331"/>
      <c r="CX287" s="331"/>
      <c r="CY287" s="331"/>
      <c r="CZ287" s="331"/>
      <c r="DA287" s="331"/>
      <c r="DB287" s="331"/>
      <c r="DC287" s="331"/>
      <c r="DD287" s="331"/>
      <c r="DE287" s="331"/>
      <c r="DF287" s="331"/>
      <c r="DG287" s="331"/>
      <c r="DH287" s="331"/>
      <c r="DI287" s="331"/>
      <c r="DJ287" s="331"/>
      <c r="DK287" s="331"/>
      <c r="DL287" s="331"/>
      <c r="DM287" s="331"/>
      <c r="DN287" s="331"/>
      <c r="DO287" s="331"/>
      <c r="DP287" s="331"/>
      <c r="DQ287" s="331"/>
      <c r="DR287" s="331"/>
      <c r="DS287" s="331"/>
      <c r="DT287" s="331"/>
      <c r="DU287" s="331"/>
      <c r="DV287" s="331"/>
      <c r="DW287" s="331"/>
      <c r="DX287" s="331"/>
      <c r="DY287" s="331"/>
    </row>
    <row r="288" spans="1:129" s="332" customFormat="1" ht="51" x14ac:dyDescent="0.25">
      <c r="A288" s="259">
        <v>316</v>
      </c>
      <c r="B288" s="325" t="s">
        <v>674</v>
      </c>
      <c r="C288" s="259"/>
      <c r="D288" s="325"/>
      <c r="E288" s="259">
        <v>1</v>
      </c>
      <c r="F288" s="325" t="s">
        <v>112</v>
      </c>
      <c r="G288" s="282" t="s">
        <v>200</v>
      </c>
      <c r="H288" s="435" t="s">
        <v>129</v>
      </c>
      <c r="I288" s="282" t="s">
        <v>207</v>
      </c>
      <c r="J288" s="385" t="s">
        <v>130</v>
      </c>
      <c r="K288" s="259">
        <v>4104007</v>
      </c>
      <c r="L288" s="385" t="s">
        <v>759</v>
      </c>
      <c r="M288" s="259">
        <v>410400700</v>
      </c>
      <c r="N288" s="385" t="s">
        <v>759</v>
      </c>
      <c r="O288" s="272" t="s">
        <v>67</v>
      </c>
      <c r="P288" s="272">
        <v>1</v>
      </c>
      <c r="Q288" s="272">
        <v>0</v>
      </c>
      <c r="R288" s="281">
        <v>2024003630057</v>
      </c>
      <c r="S288" s="325" t="s">
        <v>758</v>
      </c>
      <c r="T288" s="328"/>
      <c r="U288" s="328"/>
      <c r="V288" s="328"/>
      <c r="W288" s="328"/>
      <c r="X288" s="328"/>
      <c r="Y288" s="328"/>
      <c r="Z288" s="328"/>
      <c r="AA288" s="328"/>
      <c r="AB288" s="328"/>
      <c r="AC288" s="328"/>
      <c r="AD288" s="328"/>
      <c r="AE288" s="328"/>
      <c r="AF288" s="328"/>
      <c r="AG288" s="328"/>
      <c r="AH288" s="328"/>
      <c r="AI288" s="328"/>
      <c r="AJ288" s="328"/>
      <c r="AK288" s="328"/>
      <c r="AL288" s="328">
        <v>5000000</v>
      </c>
      <c r="AM288" s="328">
        <v>5000000</v>
      </c>
      <c r="AN288" s="328"/>
      <c r="AO288" s="328"/>
      <c r="AP288" s="328"/>
      <c r="AQ288" s="328"/>
      <c r="AR288" s="328"/>
      <c r="AS288" s="328"/>
      <c r="AT288" s="328"/>
      <c r="AU288" s="328">
        <f t="shared" ref="AU288:AU346" si="20">SUM(T288,W288,Z288,AC288,AF288,AI288,AL288,AO288,AR288)</f>
        <v>5000000</v>
      </c>
      <c r="AV288" s="328">
        <f t="shared" si="17"/>
        <v>5000000</v>
      </c>
      <c r="AW288" s="328">
        <f t="shared" si="18"/>
        <v>0</v>
      </c>
      <c r="AX288" s="330" t="s">
        <v>679</v>
      </c>
      <c r="AY288" s="331"/>
      <c r="AZ288" s="331"/>
      <c r="BA288" s="331"/>
      <c r="BB288" s="331"/>
      <c r="BC288" s="331"/>
      <c r="BD288" s="331"/>
      <c r="BE288" s="331"/>
      <c r="BF288" s="331"/>
      <c r="BG288" s="331"/>
      <c r="BH288" s="331"/>
      <c r="BI288" s="331"/>
      <c r="BJ288" s="331"/>
      <c r="BK288" s="331"/>
      <c r="BL288" s="331"/>
      <c r="BM288" s="331"/>
      <c r="BN288" s="331"/>
      <c r="BO288" s="331"/>
      <c r="BP288" s="331"/>
      <c r="BQ288" s="331"/>
      <c r="BR288" s="331"/>
      <c r="BS288" s="331"/>
      <c r="BT288" s="331"/>
      <c r="BU288" s="331"/>
      <c r="BV288" s="331"/>
      <c r="BW288" s="331"/>
      <c r="BX288" s="331"/>
      <c r="BY288" s="331"/>
      <c r="BZ288" s="331"/>
      <c r="CA288" s="331"/>
      <c r="CB288" s="331"/>
      <c r="CC288" s="331"/>
      <c r="CD288" s="331"/>
      <c r="CE288" s="331"/>
      <c r="CF288" s="331"/>
      <c r="CG288" s="331"/>
      <c r="CH288" s="331"/>
      <c r="CI288" s="331"/>
      <c r="CJ288" s="331"/>
      <c r="CK288" s="331"/>
      <c r="CL288" s="331"/>
      <c r="CM288" s="331"/>
      <c r="CN288" s="331"/>
      <c r="CO288" s="331"/>
      <c r="CP288" s="331"/>
      <c r="CQ288" s="331"/>
      <c r="CR288" s="331"/>
      <c r="CS288" s="331"/>
      <c r="CT288" s="331"/>
      <c r="CU288" s="331"/>
      <c r="CV288" s="331"/>
      <c r="CW288" s="331"/>
      <c r="CX288" s="331"/>
      <c r="CY288" s="331"/>
      <c r="CZ288" s="331"/>
      <c r="DA288" s="331"/>
      <c r="DB288" s="331"/>
      <c r="DC288" s="331"/>
      <c r="DD288" s="331"/>
      <c r="DE288" s="331"/>
      <c r="DF288" s="331"/>
      <c r="DG288" s="331"/>
      <c r="DH288" s="331"/>
      <c r="DI288" s="331"/>
      <c r="DJ288" s="331"/>
      <c r="DK288" s="331"/>
      <c r="DL288" s="331"/>
      <c r="DM288" s="331"/>
      <c r="DN288" s="331"/>
      <c r="DO288" s="331"/>
      <c r="DP288" s="331"/>
      <c r="DQ288" s="331"/>
      <c r="DR288" s="331"/>
      <c r="DS288" s="331"/>
      <c r="DT288" s="331"/>
      <c r="DU288" s="331"/>
      <c r="DV288" s="331"/>
      <c r="DW288" s="331"/>
      <c r="DX288" s="331"/>
      <c r="DY288" s="331"/>
    </row>
    <row r="289" spans="1:129" s="332" customFormat="1" ht="51" x14ac:dyDescent="0.25">
      <c r="A289" s="259">
        <v>316</v>
      </c>
      <c r="B289" s="325" t="s">
        <v>674</v>
      </c>
      <c r="C289" s="259"/>
      <c r="D289" s="325"/>
      <c r="E289" s="259">
        <v>1</v>
      </c>
      <c r="F289" s="325" t="s">
        <v>112</v>
      </c>
      <c r="G289" s="282" t="s">
        <v>200</v>
      </c>
      <c r="H289" s="435" t="s">
        <v>129</v>
      </c>
      <c r="I289" s="282" t="s">
        <v>207</v>
      </c>
      <c r="J289" s="385" t="s">
        <v>130</v>
      </c>
      <c r="K289" s="259" t="s">
        <v>760</v>
      </c>
      <c r="L289" s="435" t="s">
        <v>761</v>
      </c>
      <c r="M289" s="259">
        <v>410401400</v>
      </c>
      <c r="N289" s="435" t="s">
        <v>762</v>
      </c>
      <c r="O289" s="272" t="s">
        <v>67</v>
      </c>
      <c r="P289" s="272">
        <v>1</v>
      </c>
      <c r="Q289" s="272">
        <v>0</v>
      </c>
      <c r="R289" s="281">
        <v>2024003630057</v>
      </c>
      <c r="S289" s="325" t="s">
        <v>758</v>
      </c>
      <c r="T289" s="328"/>
      <c r="U289" s="328"/>
      <c r="V289" s="328"/>
      <c r="W289" s="328"/>
      <c r="X289" s="328"/>
      <c r="Y289" s="328"/>
      <c r="Z289" s="328"/>
      <c r="AA289" s="328"/>
      <c r="AB289" s="328"/>
      <c r="AC289" s="328"/>
      <c r="AD289" s="328"/>
      <c r="AE289" s="328"/>
      <c r="AF289" s="328"/>
      <c r="AG289" s="328"/>
      <c r="AH289" s="328"/>
      <c r="AI289" s="328"/>
      <c r="AJ289" s="328"/>
      <c r="AK289" s="328"/>
      <c r="AL289" s="328">
        <v>5000000</v>
      </c>
      <c r="AM289" s="328">
        <v>5000000</v>
      </c>
      <c r="AN289" s="328"/>
      <c r="AO289" s="328"/>
      <c r="AP289" s="328"/>
      <c r="AQ289" s="328"/>
      <c r="AR289" s="328"/>
      <c r="AS289" s="328"/>
      <c r="AT289" s="328"/>
      <c r="AU289" s="328">
        <f t="shared" si="20"/>
        <v>5000000</v>
      </c>
      <c r="AV289" s="328">
        <f t="shared" si="17"/>
        <v>5000000</v>
      </c>
      <c r="AW289" s="328">
        <f t="shared" si="18"/>
        <v>0</v>
      </c>
      <c r="AX289" s="330" t="s">
        <v>679</v>
      </c>
      <c r="AY289" s="331"/>
      <c r="AZ289" s="331"/>
      <c r="BA289" s="331"/>
      <c r="BB289" s="331"/>
      <c r="BC289" s="331"/>
      <c r="BD289" s="331"/>
      <c r="BE289" s="331"/>
      <c r="BF289" s="331"/>
      <c r="BG289" s="331"/>
      <c r="BH289" s="331"/>
      <c r="BI289" s="331"/>
      <c r="BJ289" s="331"/>
      <c r="BK289" s="331"/>
      <c r="BL289" s="331"/>
      <c r="BM289" s="331"/>
      <c r="BN289" s="331"/>
      <c r="BO289" s="331"/>
      <c r="BP289" s="331"/>
      <c r="BQ289" s="331"/>
      <c r="BR289" s="331"/>
      <c r="BS289" s="331"/>
      <c r="BT289" s="331"/>
      <c r="BU289" s="331"/>
      <c r="BV289" s="331"/>
      <c r="BW289" s="331"/>
      <c r="BX289" s="331"/>
      <c r="BY289" s="331"/>
      <c r="BZ289" s="331"/>
      <c r="CA289" s="331"/>
      <c r="CB289" s="331"/>
      <c r="CC289" s="331"/>
      <c r="CD289" s="331"/>
      <c r="CE289" s="331"/>
      <c r="CF289" s="331"/>
      <c r="CG289" s="331"/>
      <c r="CH289" s="331"/>
      <c r="CI289" s="331"/>
      <c r="CJ289" s="331"/>
      <c r="CK289" s="331"/>
      <c r="CL289" s="331"/>
      <c r="CM289" s="331"/>
      <c r="CN289" s="331"/>
      <c r="CO289" s="331"/>
      <c r="CP289" s="331"/>
      <c r="CQ289" s="331"/>
      <c r="CR289" s="331"/>
      <c r="CS289" s="331"/>
      <c r="CT289" s="331"/>
      <c r="CU289" s="331"/>
      <c r="CV289" s="331"/>
      <c r="CW289" s="331"/>
      <c r="CX289" s="331"/>
      <c r="CY289" s="331"/>
      <c r="CZ289" s="331"/>
      <c r="DA289" s="331"/>
      <c r="DB289" s="331"/>
      <c r="DC289" s="331"/>
      <c r="DD289" s="331"/>
      <c r="DE289" s="331"/>
      <c r="DF289" s="331"/>
      <c r="DG289" s="331"/>
      <c r="DH289" s="331"/>
      <c r="DI289" s="331"/>
      <c r="DJ289" s="331"/>
      <c r="DK289" s="331"/>
      <c r="DL289" s="331"/>
      <c r="DM289" s="331"/>
      <c r="DN289" s="331"/>
      <c r="DO289" s="331"/>
      <c r="DP289" s="331"/>
      <c r="DQ289" s="331"/>
      <c r="DR289" s="331"/>
      <c r="DS289" s="331"/>
      <c r="DT289" s="331"/>
      <c r="DU289" s="331"/>
      <c r="DV289" s="331"/>
      <c r="DW289" s="331"/>
      <c r="DX289" s="331"/>
      <c r="DY289" s="331"/>
    </row>
    <row r="290" spans="1:129" s="331" customFormat="1" ht="63.75" x14ac:dyDescent="0.25">
      <c r="A290" s="257">
        <v>316</v>
      </c>
      <c r="B290" s="376" t="s">
        <v>674</v>
      </c>
      <c r="C290" s="257">
        <v>2</v>
      </c>
      <c r="D290" s="376" t="s">
        <v>382</v>
      </c>
      <c r="E290" s="257">
        <v>2</v>
      </c>
      <c r="F290" s="376" t="s">
        <v>455</v>
      </c>
      <c r="G290" s="257">
        <v>17</v>
      </c>
      <c r="H290" s="376" t="s">
        <v>212</v>
      </c>
      <c r="I290" s="257">
        <v>1702</v>
      </c>
      <c r="J290" s="376" t="s">
        <v>432</v>
      </c>
      <c r="K290" s="256">
        <v>1702011</v>
      </c>
      <c r="L290" s="376" t="s">
        <v>763</v>
      </c>
      <c r="M290" s="263" t="s">
        <v>764</v>
      </c>
      <c r="N290" s="388" t="s">
        <v>765</v>
      </c>
      <c r="O290" s="280" t="s">
        <v>67</v>
      </c>
      <c r="P290" s="280">
        <v>10</v>
      </c>
      <c r="Q290" s="280">
        <v>3</v>
      </c>
      <c r="R290" s="380">
        <v>2020003630113</v>
      </c>
      <c r="S290" s="376" t="s">
        <v>766</v>
      </c>
      <c r="T290" s="381"/>
      <c r="U290" s="381"/>
      <c r="V290" s="381"/>
      <c r="W290" s="381"/>
      <c r="X290" s="381"/>
      <c r="Y290" s="381"/>
      <c r="Z290" s="381"/>
      <c r="AA290" s="381"/>
      <c r="AB290" s="381"/>
      <c r="AC290" s="381"/>
      <c r="AD290" s="381"/>
      <c r="AE290" s="381"/>
      <c r="AF290" s="381"/>
      <c r="AG290" s="381"/>
      <c r="AH290" s="381"/>
      <c r="AI290" s="381"/>
      <c r="AJ290" s="381"/>
      <c r="AK290" s="381"/>
      <c r="AL290" s="381">
        <f>60000000-49000000</f>
        <v>11000000</v>
      </c>
      <c r="AM290" s="381">
        <v>11000000</v>
      </c>
      <c r="AN290" s="381">
        <v>11000000</v>
      </c>
      <c r="AO290" s="381"/>
      <c r="AP290" s="381"/>
      <c r="AQ290" s="381"/>
      <c r="AR290" s="381"/>
      <c r="AS290" s="381"/>
      <c r="AT290" s="381"/>
      <c r="AU290" s="381">
        <f t="shared" si="20"/>
        <v>11000000</v>
      </c>
      <c r="AV290" s="381">
        <f t="shared" si="17"/>
        <v>11000000</v>
      </c>
      <c r="AW290" s="381">
        <f t="shared" si="18"/>
        <v>11000000</v>
      </c>
      <c r="AX290" s="473" t="s">
        <v>679</v>
      </c>
    </row>
    <row r="291" spans="1:129" s="332" customFormat="1" ht="63.75" x14ac:dyDescent="0.25">
      <c r="A291" s="259">
        <v>316</v>
      </c>
      <c r="B291" s="325" t="s">
        <v>674</v>
      </c>
      <c r="C291" s="306"/>
      <c r="D291" s="386"/>
      <c r="E291" s="306">
        <v>2</v>
      </c>
      <c r="F291" s="386" t="s">
        <v>455</v>
      </c>
      <c r="G291" s="282" t="s">
        <v>211</v>
      </c>
      <c r="H291" s="385" t="s">
        <v>212</v>
      </c>
      <c r="I291" s="282" t="s">
        <v>767</v>
      </c>
      <c r="J291" s="385" t="s">
        <v>432</v>
      </c>
      <c r="K291" s="279">
        <v>1702011</v>
      </c>
      <c r="L291" s="325" t="s">
        <v>433</v>
      </c>
      <c r="M291" s="264">
        <v>170201102</v>
      </c>
      <c r="N291" s="333" t="s">
        <v>765</v>
      </c>
      <c r="O291" s="272" t="s">
        <v>26</v>
      </c>
      <c r="P291" s="272">
        <v>24</v>
      </c>
      <c r="Q291" s="272">
        <v>10</v>
      </c>
      <c r="R291" s="281">
        <v>2024003630076</v>
      </c>
      <c r="S291" s="325" t="s">
        <v>768</v>
      </c>
      <c r="T291" s="328"/>
      <c r="U291" s="328"/>
      <c r="V291" s="328"/>
      <c r="W291" s="328"/>
      <c r="X291" s="328"/>
      <c r="Y291" s="328"/>
      <c r="Z291" s="328"/>
      <c r="AA291" s="328"/>
      <c r="AB291" s="328"/>
      <c r="AC291" s="328"/>
      <c r="AD291" s="328"/>
      <c r="AE291" s="328"/>
      <c r="AF291" s="328"/>
      <c r="AG291" s="328"/>
      <c r="AH291" s="328"/>
      <c r="AI291" s="328"/>
      <c r="AJ291" s="328"/>
      <c r="AK291" s="328"/>
      <c r="AL291" s="328">
        <v>19000000</v>
      </c>
      <c r="AM291" s="328">
        <v>19000000</v>
      </c>
      <c r="AN291" s="328">
        <v>13800000</v>
      </c>
      <c r="AO291" s="328"/>
      <c r="AP291" s="328"/>
      <c r="AQ291" s="328"/>
      <c r="AR291" s="328"/>
      <c r="AS291" s="328"/>
      <c r="AT291" s="328"/>
      <c r="AU291" s="328">
        <f t="shared" si="20"/>
        <v>19000000</v>
      </c>
      <c r="AV291" s="328">
        <f t="shared" si="17"/>
        <v>19000000</v>
      </c>
      <c r="AW291" s="328">
        <f t="shared" si="18"/>
        <v>13800000</v>
      </c>
      <c r="AX291" s="330" t="s">
        <v>679</v>
      </c>
      <c r="AY291" s="331"/>
      <c r="AZ291" s="331"/>
      <c r="BA291" s="331"/>
      <c r="BB291" s="331"/>
      <c r="BC291" s="331"/>
      <c r="BD291" s="331"/>
      <c r="BE291" s="331"/>
      <c r="BF291" s="331"/>
      <c r="BG291" s="331"/>
      <c r="BH291" s="331"/>
      <c r="BI291" s="331"/>
      <c r="BJ291" s="331"/>
      <c r="BK291" s="331"/>
      <c r="BL291" s="331"/>
      <c r="BM291" s="331"/>
      <c r="BN291" s="331"/>
      <c r="BO291" s="331"/>
      <c r="BP291" s="331"/>
      <c r="BQ291" s="331"/>
      <c r="BR291" s="331"/>
      <c r="BS291" s="331"/>
      <c r="BT291" s="331"/>
      <c r="BU291" s="331"/>
      <c r="BV291" s="331"/>
      <c r="BW291" s="331"/>
      <c r="BX291" s="331"/>
      <c r="BY291" s="331"/>
      <c r="BZ291" s="331"/>
      <c r="CA291" s="331"/>
      <c r="CB291" s="331"/>
      <c r="CC291" s="331"/>
      <c r="CD291" s="331"/>
      <c r="CE291" s="331"/>
      <c r="CF291" s="331"/>
      <c r="CG291" s="331"/>
      <c r="CH291" s="331"/>
      <c r="CI291" s="331"/>
      <c r="CJ291" s="331"/>
      <c r="CK291" s="331"/>
      <c r="CL291" s="331"/>
      <c r="CM291" s="331"/>
      <c r="CN291" s="331"/>
      <c r="CO291" s="331"/>
      <c r="CP291" s="331"/>
      <c r="CQ291" s="331"/>
      <c r="CR291" s="331"/>
      <c r="CS291" s="331"/>
      <c r="CT291" s="331"/>
      <c r="CU291" s="331"/>
      <c r="CV291" s="331"/>
      <c r="CW291" s="331"/>
      <c r="CX291" s="331"/>
      <c r="CY291" s="331"/>
      <c r="CZ291" s="331"/>
      <c r="DA291" s="331"/>
      <c r="DB291" s="331"/>
      <c r="DC291" s="331"/>
      <c r="DD291" s="331"/>
      <c r="DE291" s="331"/>
      <c r="DF291" s="331"/>
      <c r="DG291" s="331"/>
      <c r="DH291" s="331"/>
      <c r="DI291" s="331"/>
      <c r="DJ291" s="331"/>
      <c r="DK291" s="331"/>
      <c r="DL291" s="331"/>
      <c r="DM291" s="331"/>
      <c r="DN291" s="331"/>
      <c r="DO291" s="331"/>
      <c r="DP291" s="331"/>
      <c r="DQ291" s="331"/>
      <c r="DR291" s="331"/>
      <c r="DS291" s="331"/>
      <c r="DT291" s="331"/>
      <c r="DU291" s="331"/>
      <c r="DV291" s="331"/>
      <c r="DW291" s="331"/>
      <c r="DX291" s="331"/>
      <c r="DY291" s="331"/>
    </row>
    <row r="292" spans="1:129" s="331" customFormat="1" ht="63.75" x14ac:dyDescent="0.25">
      <c r="A292" s="257">
        <v>316</v>
      </c>
      <c r="B292" s="376" t="s">
        <v>674</v>
      </c>
      <c r="C292" s="257">
        <v>4</v>
      </c>
      <c r="D292" s="376" t="s">
        <v>36</v>
      </c>
      <c r="E292" s="257">
        <v>4</v>
      </c>
      <c r="F292" s="376" t="s">
        <v>102</v>
      </c>
      <c r="G292" s="257">
        <v>45</v>
      </c>
      <c r="H292" s="376" t="s">
        <v>30</v>
      </c>
      <c r="I292" s="257">
        <v>4502</v>
      </c>
      <c r="J292" s="376" t="s">
        <v>49</v>
      </c>
      <c r="K292" s="342">
        <v>4502038</v>
      </c>
      <c r="L292" s="376" t="s">
        <v>769</v>
      </c>
      <c r="M292" s="280">
        <v>450203800</v>
      </c>
      <c r="N292" s="388" t="s">
        <v>770</v>
      </c>
      <c r="O292" s="280" t="s">
        <v>26</v>
      </c>
      <c r="P292" s="280">
        <v>1</v>
      </c>
      <c r="Q292" s="280">
        <v>0.68</v>
      </c>
      <c r="R292" s="422">
        <v>2021003630008</v>
      </c>
      <c r="S292" s="376" t="s">
        <v>771</v>
      </c>
      <c r="T292" s="381"/>
      <c r="U292" s="381"/>
      <c r="V292" s="381"/>
      <c r="W292" s="381"/>
      <c r="X292" s="381"/>
      <c r="Y292" s="381"/>
      <c r="Z292" s="381"/>
      <c r="AA292" s="381"/>
      <c r="AB292" s="381"/>
      <c r="AC292" s="381"/>
      <c r="AD292" s="381"/>
      <c r="AE292" s="381"/>
      <c r="AF292" s="381"/>
      <c r="AG292" s="381"/>
      <c r="AH292" s="381"/>
      <c r="AI292" s="381"/>
      <c r="AJ292" s="381"/>
      <c r="AK292" s="381"/>
      <c r="AL292" s="381">
        <f>140000000+40000000-41770500</f>
        <v>138229500</v>
      </c>
      <c r="AM292" s="381">
        <v>138229500</v>
      </c>
      <c r="AN292" s="381">
        <v>133229500</v>
      </c>
      <c r="AO292" s="381"/>
      <c r="AP292" s="381"/>
      <c r="AQ292" s="381"/>
      <c r="AR292" s="381"/>
      <c r="AS292" s="381"/>
      <c r="AT292" s="381"/>
      <c r="AU292" s="381">
        <f t="shared" si="20"/>
        <v>138229500</v>
      </c>
      <c r="AV292" s="381">
        <f t="shared" si="17"/>
        <v>138229500</v>
      </c>
      <c r="AW292" s="381">
        <f t="shared" si="18"/>
        <v>133229500</v>
      </c>
      <c r="AX292" s="473" t="s">
        <v>679</v>
      </c>
    </row>
    <row r="293" spans="1:129" s="332" customFormat="1" ht="63.75" x14ac:dyDescent="0.25">
      <c r="A293" s="259">
        <v>316</v>
      </c>
      <c r="B293" s="325" t="s">
        <v>674</v>
      </c>
      <c r="C293" s="259"/>
      <c r="D293" s="325"/>
      <c r="E293" s="259">
        <v>4</v>
      </c>
      <c r="F293" s="325" t="s">
        <v>102</v>
      </c>
      <c r="G293" s="282" t="s">
        <v>29</v>
      </c>
      <c r="H293" s="385" t="s">
        <v>22</v>
      </c>
      <c r="I293" s="282" t="s">
        <v>53</v>
      </c>
      <c r="J293" s="385" t="s">
        <v>49</v>
      </c>
      <c r="K293" s="340">
        <v>4502038</v>
      </c>
      <c r="L293" s="325" t="s">
        <v>769</v>
      </c>
      <c r="M293" s="281">
        <v>450203800</v>
      </c>
      <c r="N293" s="385" t="s">
        <v>770</v>
      </c>
      <c r="O293" s="272" t="s">
        <v>26</v>
      </c>
      <c r="P293" s="272">
        <v>1</v>
      </c>
      <c r="Q293" s="272">
        <v>0.8</v>
      </c>
      <c r="R293" s="471">
        <v>2024003630102</v>
      </c>
      <c r="S293" s="325" t="s">
        <v>772</v>
      </c>
      <c r="T293" s="328"/>
      <c r="U293" s="328"/>
      <c r="V293" s="328"/>
      <c r="W293" s="328"/>
      <c r="X293" s="328"/>
      <c r="Y293" s="328"/>
      <c r="Z293" s="328"/>
      <c r="AA293" s="328"/>
      <c r="AB293" s="328"/>
      <c r="AC293" s="328"/>
      <c r="AD293" s="328"/>
      <c r="AE293" s="328"/>
      <c r="AF293" s="328"/>
      <c r="AG293" s="328"/>
      <c r="AH293" s="328"/>
      <c r="AI293" s="328"/>
      <c r="AJ293" s="328"/>
      <c r="AK293" s="328"/>
      <c r="AL293" s="328">
        <v>93491000</v>
      </c>
      <c r="AM293" s="328">
        <v>90266667</v>
      </c>
      <c r="AN293" s="328">
        <v>37700000</v>
      </c>
      <c r="AO293" s="328"/>
      <c r="AP293" s="328"/>
      <c r="AQ293" s="328"/>
      <c r="AR293" s="328"/>
      <c r="AS293" s="328"/>
      <c r="AT293" s="328"/>
      <c r="AU293" s="328">
        <f t="shared" si="20"/>
        <v>93491000</v>
      </c>
      <c r="AV293" s="328">
        <f t="shared" si="17"/>
        <v>90266667</v>
      </c>
      <c r="AW293" s="328">
        <f t="shared" si="18"/>
        <v>37700000</v>
      </c>
      <c r="AX293" s="330" t="s">
        <v>679</v>
      </c>
      <c r="AY293" s="331"/>
      <c r="AZ293" s="331"/>
      <c r="BA293" s="331"/>
      <c r="BB293" s="331"/>
      <c r="BC293" s="331"/>
      <c r="BD293" s="331"/>
      <c r="BE293" s="331"/>
      <c r="BF293" s="331"/>
      <c r="BG293" s="331"/>
      <c r="BH293" s="331"/>
      <c r="BI293" s="331"/>
      <c r="BJ293" s="331"/>
      <c r="BK293" s="331"/>
      <c r="BL293" s="331"/>
      <c r="BM293" s="331"/>
      <c r="BN293" s="331"/>
      <c r="BO293" s="331"/>
      <c r="BP293" s="331"/>
      <c r="BQ293" s="331"/>
      <c r="BR293" s="331"/>
      <c r="BS293" s="331"/>
      <c r="BT293" s="331"/>
      <c r="BU293" s="331"/>
      <c r="BV293" s="331"/>
      <c r="BW293" s="331"/>
      <c r="BX293" s="331"/>
      <c r="BY293" s="331"/>
      <c r="BZ293" s="331"/>
      <c r="CA293" s="331"/>
      <c r="CB293" s="331"/>
      <c r="CC293" s="331"/>
      <c r="CD293" s="331"/>
      <c r="CE293" s="331"/>
      <c r="CF293" s="331"/>
      <c r="CG293" s="331"/>
      <c r="CH293" s="331"/>
      <c r="CI293" s="331"/>
      <c r="CJ293" s="331"/>
      <c r="CK293" s="331"/>
      <c r="CL293" s="331"/>
      <c r="CM293" s="331"/>
      <c r="CN293" s="331"/>
      <c r="CO293" s="331"/>
      <c r="CP293" s="331"/>
      <c r="CQ293" s="331"/>
      <c r="CR293" s="331"/>
      <c r="CS293" s="331"/>
      <c r="CT293" s="331"/>
      <c r="CU293" s="331"/>
      <c r="CV293" s="331"/>
      <c r="CW293" s="331"/>
      <c r="CX293" s="331"/>
      <c r="CY293" s="331"/>
      <c r="CZ293" s="331"/>
      <c r="DA293" s="331"/>
      <c r="DB293" s="331"/>
      <c r="DC293" s="331"/>
      <c r="DD293" s="331"/>
      <c r="DE293" s="331"/>
      <c r="DF293" s="331"/>
      <c r="DG293" s="331"/>
      <c r="DH293" s="331"/>
      <c r="DI293" s="331"/>
      <c r="DJ293" s="331"/>
      <c r="DK293" s="331"/>
      <c r="DL293" s="331"/>
      <c r="DM293" s="331"/>
      <c r="DN293" s="331"/>
      <c r="DO293" s="331"/>
      <c r="DP293" s="331"/>
      <c r="DQ293" s="331"/>
      <c r="DR293" s="331"/>
      <c r="DS293" s="331"/>
      <c r="DT293" s="331"/>
      <c r="DU293" s="331"/>
      <c r="DV293" s="331"/>
      <c r="DW293" s="331"/>
      <c r="DX293" s="331"/>
      <c r="DY293" s="331"/>
    </row>
    <row r="294" spans="1:129" s="331" customFormat="1" ht="63.75" x14ac:dyDescent="0.25">
      <c r="A294" s="257">
        <v>316</v>
      </c>
      <c r="B294" s="376" t="s">
        <v>674</v>
      </c>
      <c r="C294" s="257">
        <v>4</v>
      </c>
      <c r="D294" s="376" t="s">
        <v>36</v>
      </c>
      <c r="E294" s="257">
        <v>4</v>
      </c>
      <c r="F294" s="376" t="s">
        <v>102</v>
      </c>
      <c r="G294" s="257">
        <v>45</v>
      </c>
      <c r="H294" s="376" t="s">
        <v>30</v>
      </c>
      <c r="I294" s="257">
        <v>4502</v>
      </c>
      <c r="J294" s="376" t="s">
        <v>49</v>
      </c>
      <c r="K294" s="342">
        <v>4502038</v>
      </c>
      <c r="L294" s="376" t="s">
        <v>769</v>
      </c>
      <c r="M294" s="280">
        <v>450203800</v>
      </c>
      <c r="N294" s="388" t="s">
        <v>770</v>
      </c>
      <c r="O294" s="280" t="s">
        <v>26</v>
      </c>
      <c r="P294" s="280">
        <v>1</v>
      </c>
      <c r="Q294" s="280">
        <v>0.45</v>
      </c>
      <c r="R294" s="422">
        <v>2021003630007</v>
      </c>
      <c r="S294" s="376" t="s">
        <v>773</v>
      </c>
      <c r="T294" s="381"/>
      <c r="U294" s="381"/>
      <c r="V294" s="381"/>
      <c r="W294" s="381"/>
      <c r="X294" s="381"/>
      <c r="Y294" s="381"/>
      <c r="Z294" s="381"/>
      <c r="AA294" s="381"/>
      <c r="AB294" s="381"/>
      <c r="AC294" s="381"/>
      <c r="AD294" s="381"/>
      <c r="AE294" s="381"/>
      <c r="AF294" s="381"/>
      <c r="AG294" s="381"/>
      <c r="AH294" s="381"/>
      <c r="AI294" s="381"/>
      <c r="AJ294" s="381"/>
      <c r="AK294" s="381"/>
      <c r="AL294" s="381">
        <f>135000000+30000000-86390500</f>
        <v>78609500</v>
      </c>
      <c r="AM294" s="381">
        <v>78609500</v>
      </c>
      <c r="AN294" s="381">
        <v>75659500</v>
      </c>
      <c r="AO294" s="381"/>
      <c r="AP294" s="381"/>
      <c r="AQ294" s="381"/>
      <c r="AR294" s="381"/>
      <c r="AS294" s="381"/>
      <c r="AT294" s="381"/>
      <c r="AU294" s="381">
        <f t="shared" si="20"/>
        <v>78609500</v>
      </c>
      <c r="AV294" s="381">
        <f t="shared" si="17"/>
        <v>78609500</v>
      </c>
      <c r="AW294" s="381">
        <f t="shared" si="18"/>
        <v>75659500</v>
      </c>
      <c r="AX294" s="473" t="s">
        <v>679</v>
      </c>
    </row>
    <row r="295" spans="1:129" s="332" customFormat="1" ht="63.75" x14ac:dyDescent="0.25">
      <c r="A295" s="259">
        <v>316</v>
      </c>
      <c r="B295" s="325" t="s">
        <v>674</v>
      </c>
      <c r="C295" s="259"/>
      <c r="D295" s="325"/>
      <c r="E295" s="259">
        <v>4</v>
      </c>
      <c r="F295" s="325" t="s">
        <v>102</v>
      </c>
      <c r="G295" s="282" t="s">
        <v>29</v>
      </c>
      <c r="H295" s="385" t="s">
        <v>22</v>
      </c>
      <c r="I295" s="282" t="s">
        <v>53</v>
      </c>
      <c r="J295" s="385" t="s">
        <v>49</v>
      </c>
      <c r="K295" s="340">
        <v>4502038</v>
      </c>
      <c r="L295" s="325" t="s">
        <v>769</v>
      </c>
      <c r="M295" s="282" t="s">
        <v>774</v>
      </c>
      <c r="N295" s="385" t="s">
        <v>770</v>
      </c>
      <c r="O295" s="272" t="s">
        <v>26</v>
      </c>
      <c r="P295" s="272">
        <v>1</v>
      </c>
      <c r="Q295" s="272">
        <v>0.23</v>
      </c>
      <c r="R295" s="471">
        <v>2024003630079</v>
      </c>
      <c r="S295" s="325" t="s">
        <v>775</v>
      </c>
      <c r="T295" s="328"/>
      <c r="U295" s="328"/>
      <c r="V295" s="328"/>
      <c r="W295" s="328"/>
      <c r="X295" s="328"/>
      <c r="Y295" s="328"/>
      <c r="Z295" s="328"/>
      <c r="AA295" s="328"/>
      <c r="AB295" s="328"/>
      <c r="AC295" s="328"/>
      <c r="AD295" s="328"/>
      <c r="AE295" s="328"/>
      <c r="AF295" s="328"/>
      <c r="AG295" s="328"/>
      <c r="AH295" s="328"/>
      <c r="AI295" s="328"/>
      <c r="AJ295" s="328"/>
      <c r="AK295" s="328"/>
      <c r="AL295" s="328">
        <v>60000000</v>
      </c>
      <c r="AM295" s="328">
        <v>59726667</v>
      </c>
      <c r="AN295" s="328">
        <v>32964171</v>
      </c>
      <c r="AO295" s="328"/>
      <c r="AP295" s="328"/>
      <c r="AQ295" s="328"/>
      <c r="AR295" s="328"/>
      <c r="AS295" s="328"/>
      <c r="AT295" s="328"/>
      <c r="AU295" s="328">
        <f t="shared" si="20"/>
        <v>60000000</v>
      </c>
      <c r="AV295" s="328">
        <f t="shared" si="17"/>
        <v>59726667</v>
      </c>
      <c r="AW295" s="328">
        <f t="shared" si="18"/>
        <v>32964171</v>
      </c>
      <c r="AX295" s="330" t="s">
        <v>679</v>
      </c>
      <c r="AY295" s="331"/>
      <c r="AZ295" s="331"/>
      <c r="BA295" s="331"/>
      <c r="BB295" s="331"/>
      <c r="BC295" s="331"/>
      <c r="BD295" s="331"/>
      <c r="BE295" s="331"/>
      <c r="BF295" s="331"/>
      <c r="BG295" s="331"/>
      <c r="BH295" s="331"/>
      <c r="BI295" s="331"/>
      <c r="BJ295" s="331"/>
      <c r="BK295" s="331"/>
      <c r="BL295" s="331"/>
      <c r="BM295" s="331"/>
      <c r="BN295" s="331"/>
      <c r="BO295" s="331"/>
      <c r="BP295" s="331"/>
      <c r="BQ295" s="331"/>
      <c r="BR295" s="331"/>
      <c r="BS295" s="331"/>
      <c r="BT295" s="331"/>
      <c r="BU295" s="331"/>
      <c r="BV295" s="331"/>
      <c r="BW295" s="331"/>
      <c r="BX295" s="331"/>
      <c r="BY295" s="331"/>
      <c r="BZ295" s="331"/>
      <c r="CA295" s="331"/>
      <c r="CB295" s="331"/>
      <c r="CC295" s="331"/>
      <c r="CD295" s="331"/>
      <c r="CE295" s="331"/>
      <c r="CF295" s="331"/>
      <c r="CG295" s="331"/>
      <c r="CH295" s="331"/>
      <c r="CI295" s="331"/>
      <c r="CJ295" s="331"/>
      <c r="CK295" s="331"/>
      <c r="CL295" s="331"/>
      <c r="CM295" s="331"/>
      <c r="CN295" s="331"/>
      <c r="CO295" s="331"/>
      <c r="CP295" s="331"/>
      <c r="CQ295" s="331"/>
      <c r="CR295" s="331"/>
      <c r="CS295" s="331"/>
      <c r="CT295" s="331"/>
      <c r="CU295" s="331"/>
      <c r="CV295" s="331"/>
      <c r="CW295" s="331"/>
      <c r="CX295" s="331"/>
      <c r="CY295" s="331"/>
      <c r="CZ295" s="331"/>
      <c r="DA295" s="331"/>
      <c r="DB295" s="331"/>
      <c r="DC295" s="331"/>
      <c r="DD295" s="331"/>
      <c r="DE295" s="331"/>
      <c r="DF295" s="331"/>
      <c r="DG295" s="331"/>
      <c r="DH295" s="331"/>
      <c r="DI295" s="331"/>
      <c r="DJ295" s="331"/>
      <c r="DK295" s="331"/>
      <c r="DL295" s="331"/>
      <c r="DM295" s="331"/>
      <c r="DN295" s="331"/>
      <c r="DO295" s="331"/>
      <c r="DP295" s="331"/>
      <c r="DQ295" s="331"/>
      <c r="DR295" s="331"/>
      <c r="DS295" s="331"/>
      <c r="DT295" s="331"/>
      <c r="DU295" s="331"/>
      <c r="DV295" s="331"/>
      <c r="DW295" s="331"/>
      <c r="DX295" s="331"/>
      <c r="DY295" s="331"/>
    </row>
    <row r="296" spans="1:129" s="331" customFormat="1" ht="76.5" x14ac:dyDescent="0.25">
      <c r="A296" s="257">
        <v>316</v>
      </c>
      <c r="B296" s="376" t="s">
        <v>674</v>
      </c>
      <c r="C296" s="257">
        <v>4</v>
      </c>
      <c r="D296" s="376" t="s">
        <v>36</v>
      </c>
      <c r="E296" s="257">
        <v>4</v>
      </c>
      <c r="F296" s="376" t="s">
        <v>102</v>
      </c>
      <c r="G296" s="257">
        <v>45</v>
      </c>
      <c r="H296" s="376" t="s">
        <v>30</v>
      </c>
      <c r="I296" s="257">
        <v>4502</v>
      </c>
      <c r="J296" s="376" t="s">
        <v>49</v>
      </c>
      <c r="K296" s="256">
        <v>4502024</v>
      </c>
      <c r="L296" s="376" t="s">
        <v>307</v>
      </c>
      <c r="M296" s="256">
        <v>450202401</v>
      </c>
      <c r="N296" s="392" t="s">
        <v>776</v>
      </c>
      <c r="O296" s="280" t="s">
        <v>26</v>
      </c>
      <c r="P296" s="280">
        <v>1</v>
      </c>
      <c r="Q296" s="280">
        <v>0.3</v>
      </c>
      <c r="R296" s="422">
        <v>2020003630111</v>
      </c>
      <c r="S296" s="376" t="s">
        <v>777</v>
      </c>
      <c r="T296" s="381"/>
      <c r="U296" s="381"/>
      <c r="V296" s="381"/>
      <c r="W296" s="381"/>
      <c r="X296" s="381"/>
      <c r="Y296" s="381"/>
      <c r="Z296" s="381"/>
      <c r="AA296" s="381"/>
      <c r="AB296" s="381"/>
      <c r="AC296" s="381"/>
      <c r="AD296" s="381"/>
      <c r="AE296" s="381"/>
      <c r="AF296" s="381"/>
      <c r="AG296" s="381"/>
      <c r="AH296" s="381"/>
      <c r="AI296" s="381"/>
      <c r="AJ296" s="381"/>
      <c r="AK296" s="381"/>
      <c r="AL296" s="381">
        <f>65000000-49100000</f>
        <v>15900000</v>
      </c>
      <c r="AM296" s="381">
        <v>15900000</v>
      </c>
      <c r="AN296" s="381">
        <v>15900000</v>
      </c>
      <c r="AO296" s="381"/>
      <c r="AP296" s="381"/>
      <c r="AQ296" s="381"/>
      <c r="AR296" s="381"/>
      <c r="AS296" s="381"/>
      <c r="AT296" s="381"/>
      <c r="AU296" s="381">
        <f t="shared" si="20"/>
        <v>15900000</v>
      </c>
      <c r="AV296" s="381">
        <f t="shared" si="17"/>
        <v>15900000</v>
      </c>
      <c r="AW296" s="381">
        <f t="shared" si="18"/>
        <v>15900000</v>
      </c>
      <c r="AX296" s="473" t="s">
        <v>679</v>
      </c>
    </row>
    <row r="297" spans="1:129" s="332" customFormat="1" ht="76.5" x14ac:dyDescent="0.25">
      <c r="A297" s="259">
        <v>316</v>
      </c>
      <c r="B297" s="325" t="s">
        <v>674</v>
      </c>
      <c r="C297" s="259"/>
      <c r="D297" s="325"/>
      <c r="E297" s="259">
        <v>4</v>
      </c>
      <c r="F297" s="325" t="s">
        <v>102</v>
      </c>
      <c r="G297" s="282" t="s">
        <v>29</v>
      </c>
      <c r="H297" s="385" t="s">
        <v>22</v>
      </c>
      <c r="I297" s="282" t="s">
        <v>53</v>
      </c>
      <c r="J297" s="385" t="s">
        <v>49</v>
      </c>
      <c r="K297" s="279">
        <v>4502024</v>
      </c>
      <c r="L297" s="325" t="s">
        <v>307</v>
      </c>
      <c r="M297" s="279">
        <v>450202401</v>
      </c>
      <c r="N297" s="385" t="s">
        <v>776</v>
      </c>
      <c r="O297" s="272" t="s">
        <v>26</v>
      </c>
      <c r="P297" s="272">
        <v>1</v>
      </c>
      <c r="Q297" s="272">
        <v>0.5</v>
      </c>
      <c r="R297" s="471">
        <v>2024003630086</v>
      </c>
      <c r="S297" s="325" t="s">
        <v>778</v>
      </c>
      <c r="T297" s="328"/>
      <c r="U297" s="328"/>
      <c r="V297" s="328"/>
      <c r="W297" s="328"/>
      <c r="X297" s="328"/>
      <c r="Y297" s="328"/>
      <c r="Z297" s="328"/>
      <c r="AA297" s="328"/>
      <c r="AB297" s="328"/>
      <c r="AC297" s="328"/>
      <c r="AD297" s="328"/>
      <c r="AE297" s="328"/>
      <c r="AF297" s="328"/>
      <c r="AG297" s="328"/>
      <c r="AH297" s="328"/>
      <c r="AI297" s="328"/>
      <c r="AJ297" s="328"/>
      <c r="AK297" s="328"/>
      <c r="AL297" s="328">
        <v>24000000</v>
      </c>
      <c r="AM297" s="328">
        <v>18986333</v>
      </c>
      <c r="AN297" s="328">
        <v>8300000</v>
      </c>
      <c r="AO297" s="328"/>
      <c r="AP297" s="328"/>
      <c r="AQ297" s="328"/>
      <c r="AR297" s="328"/>
      <c r="AS297" s="328"/>
      <c r="AT297" s="328"/>
      <c r="AU297" s="328">
        <f t="shared" si="20"/>
        <v>24000000</v>
      </c>
      <c r="AV297" s="328">
        <f t="shared" si="17"/>
        <v>18986333</v>
      </c>
      <c r="AW297" s="328">
        <f t="shared" si="18"/>
        <v>8300000</v>
      </c>
      <c r="AX297" s="330" t="s">
        <v>679</v>
      </c>
      <c r="AY297" s="331"/>
      <c r="AZ297" s="331"/>
      <c r="BA297" s="331"/>
      <c r="BB297" s="331"/>
      <c r="BC297" s="331"/>
      <c r="BD297" s="331"/>
      <c r="BE297" s="331"/>
      <c r="BF297" s="331"/>
      <c r="BG297" s="331"/>
      <c r="BH297" s="331"/>
      <c r="BI297" s="331"/>
      <c r="BJ297" s="331"/>
      <c r="BK297" s="331"/>
      <c r="BL297" s="331"/>
      <c r="BM297" s="331"/>
      <c r="BN297" s="331"/>
      <c r="BO297" s="331"/>
      <c r="BP297" s="331"/>
      <c r="BQ297" s="331"/>
      <c r="BR297" s="331"/>
      <c r="BS297" s="331"/>
      <c r="BT297" s="331"/>
      <c r="BU297" s="331"/>
      <c r="BV297" s="331"/>
      <c r="BW297" s="331"/>
      <c r="BX297" s="331"/>
      <c r="BY297" s="331"/>
      <c r="BZ297" s="331"/>
      <c r="CA297" s="331"/>
      <c r="CB297" s="331"/>
      <c r="CC297" s="331"/>
      <c r="CD297" s="331"/>
      <c r="CE297" s="331"/>
      <c r="CF297" s="331"/>
      <c r="CG297" s="331"/>
      <c r="CH297" s="331"/>
      <c r="CI297" s="331"/>
      <c r="CJ297" s="331"/>
      <c r="CK297" s="331"/>
      <c r="CL297" s="331"/>
      <c r="CM297" s="331"/>
      <c r="CN297" s="331"/>
      <c r="CO297" s="331"/>
      <c r="CP297" s="331"/>
      <c r="CQ297" s="331"/>
      <c r="CR297" s="331"/>
      <c r="CS297" s="331"/>
      <c r="CT297" s="331"/>
      <c r="CU297" s="331"/>
      <c r="CV297" s="331"/>
      <c r="CW297" s="331"/>
      <c r="CX297" s="331"/>
      <c r="CY297" s="331"/>
      <c r="CZ297" s="331"/>
      <c r="DA297" s="331"/>
      <c r="DB297" s="331"/>
      <c r="DC297" s="331"/>
      <c r="DD297" s="331"/>
      <c r="DE297" s="331"/>
      <c r="DF297" s="331"/>
      <c r="DG297" s="331"/>
      <c r="DH297" s="331"/>
      <c r="DI297" s="331"/>
      <c r="DJ297" s="331"/>
      <c r="DK297" s="331"/>
      <c r="DL297" s="331"/>
      <c r="DM297" s="331"/>
      <c r="DN297" s="331"/>
      <c r="DO297" s="331"/>
      <c r="DP297" s="331"/>
      <c r="DQ297" s="331"/>
      <c r="DR297" s="331"/>
      <c r="DS297" s="331"/>
      <c r="DT297" s="331"/>
      <c r="DU297" s="331"/>
      <c r="DV297" s="331"/>
      <c r="DW297" s="331"/>
      <c r="DX297" s="331"/>
      <c r="DY297" s="331"/>
    </row>
    <row r="298" spans="1:129" s="331" customFormat="1" ht="76.5" x14ac:dyDescent="0.25">
      <c r="A298" s="257">
        <v>316</v>
      </c>
      <c r="B298" s="376" t="s">
        <v>674</v>
      </c>
      <c r="C298" s="257">
        <v>4</v>
      </c>
      <c r="D298" s="376" t="s">
        <v>36</v>
      </c>
      <c r="E298" s="257">
        <v>4</v>
      </c>
      <c r="F298" s="376" t="s">
        <v>102</v>
      </c>
      <c r="G298" s="257">
        <v>45</v>
      </c>
      <c r="H298" s="376" t="s">
        <v>30</v>
      </c>
      <c r="I298" s="257">
        <v>4502</v>
      </c>
      <c r="J298" s="376" t="s">
        <v>49</v>
      </c>
      <c r="K298" s="256">
        <v>4502024</v>
      </c>
      <c r="L298" s="376" t="s">
        <v>307</v>
      </c>
      <c r="M298" s="256">
        <v>450202401</v>
      </c>
      <c r="N298" s="388" t="s">
        <v>776</v>
      </c>
      <c r="O298" s="280" t="s">
        <v>26</v>
      </c>
      <c r="P298" s="280">
        <v>1</v>
      </c>
      <c r="Q298" s="280">
        <v>0.3</v>
      </c>
      <c r="R298" s="380">
        <v>2020003630112</v>
      </c>
      <c r="S298" s="376" t="s">
        <v>779</v>
      </c>
      <c r="T298" s="381"/>
      <c r="U298" s="381"/>
      <c r="V298" s="381"/>
      <c r="W298" s="381"/>
      <c r="X298" s="381"/>
      <c r="Y298" s="381"/>
      <c r="Z298" s="381"/>
      <c r="AA298" s="381"/>
      <c r="AB298" s="381"/>
      <c r="AC298" s="381"/>
      <c r="AD298" s="381"/>
      <c r="AE298" s="381"/>
      <c r="AF298" s="381"/>
      <c r="AG298" s="381"/>
      <c r="AH298" s="381"/>
      <c r="AI298" s="381"/>
      <c r="AJ298" s="381"/>
      <c r="AK298" s="381"/>
      <c r="AL298" s="381">
        <f>75000000-43800000</f>
        <v>31200000</v>
      </c>
      <c r="AM298" s="381">
        <v>31200000</v>
      </c>
      <c r="AN298" s="381">
        <v>31200000</v>
      </c>
      <c r="AO298" s="381"/>
      <c r="AP298" s="381"/>
      <c r="AQ298" s="381"/>
      <c r="AR298" s="381"/>
      <c r="AS298" s="381"/>
      <c r="AT298" s="381"/>
      <c r="AU298" s="381">
        <f t="shared" si="20"/>
        <v>31200000</v>
      </c>
      <c r="AV298" s="381">
        <f t="shared" si="17"/>
        <v>31200000</v>
      </c>
      <c r="AW298" s="381">
        <f t="shared" si="18"/>
        <v>31200000</v>
      </c>
      <c r="AX298" s="473" t="s">
        <v>679</v>
      </c>
    </row>
    <row r="299" spans="1:129" s="332" customFormat="1" ht="76.5" x14ac:dyDescent="0.25">
      <c r="A299" s="259">
        <v>316</v>
      </c>
      <c r="B299" s="325" t="s">
        <v>674</v>
      </c>
      <c r="C299" s="259"/>
      <c r="D299" s="325"/>
      <c r="E299" s="259">
        <v>4</v>
      </c>
      <c r="F299" s="325" t="s">
        <v>102</v>
      </c>
      <c r="G299" s="282" t="s">
        <v>29</v>
      </c>
      <c r="H299" s="385" t="s">
        <v>22</v>
      </c>
      <c r="I299" s="282" t="s">
        <v>53</v>
      </c>
      <c r="J299" s="385" t="s">
        <v>49</v>
      </c>
      <c r="K299" s="279">
        <v>4502024</v>
      </c>
      <c r="L299" s="325" t="s">
        <v>307</v>
      </c>
      <c r="M299" s="279">
        <v>450202401</v>
      </c>
      <c r="N299" s="385" t="s">
        <v>776</v>
      </c>
      <c r="O299" s="272" t="s">
        <v>26</v>
      </c>
      <c r="P299" s="272">
        <v>1</v>
      </c>
      <c r="Q299" s="272">
        <v>0.5</v>
      </c>
      <c r="R299" s="281">
        <v>2024003630085</v>
      </c>
      <c r="S299" s="325" t="s">
        <v>780</v>
      </c>
      <c r="T299" s="328"/>
      <c r="U299" s="328"/>
      <c r="V299" s="328"/>
      <c r="W299" s="328"/>
      <c r="X299" s="328"/>
      <c r="Y299" s="328"/>
      <c r="Z299" s="328"/>
      <c r="AA299" s="328"/>
      <c r="AB299" s="328"/>
      <c r="AC299" s="328"/>
      <c r="AD299" s="328"/>
      <c r="AE299" s="328"/>
      <c r="AF299" s="328"/>
      <c r="AG299" s="328"/>
      <c r="AH299" s="328"/>
      <c r="AI299" s="328"/>
      <c r="AJ299" s="328"/>
      <c r="AK299" s="328"/>
      <c r="AL299" s="328">
        <v>43800000</v>
      </c>
      <c r="AM299" s="328">
        <v>11900000</v>
      </c>
      <c r="AN299" s="328">
        <v>11900000</v>
      </c>
      <c r="AO299" s="328"/>
      <c r="AP299" s="328"/>
      <c r="AQ299" s="328"/>
      <c r="AR299" s="328"/>
      <c r="AS299" s="328"/>
      <c r="AT299" s="328"/>
      <c r="AU299" s="328">
        <f t="shared" si="20"/>
        <v>43800000</v>
      </c>
      <c r="AV299" s="328">
        <f t="shared" si="17"/>
        <v>11900000</v>
      </c>
      <c r="AW299" s="328">
        <f t="shared" si="18"/>
        <v>11900000</v>
      </c>
      <c r="AX299" s="330" t="s">
        <v>679</v>
      </c>
      <c r="AY299" s="331"/>
      <c r="AZ299" s="331"/>
      <c r="BA299" s="331"/>
      <c r="BB299" s="331"/>
      <c r="BC299" s="331"/>
      <c r="BD299" s="331"/>
      <c r="BE299" s="331"/>
      <c r="BF299" s="331"/>
      <c r="BG299" s="331"/>
      <c r="BH299" s="331"/>
      <c r="BI299" s="331"/>
      <c r="BJ299" s="331"/>
      <c r="BK299" s="331"/>
      <c r="BL299" s="331"/>
      <c r="BM299" s="331"/>
      <c r="BN299" s="331"/>
      <c r="BO299" s="331"/>
      <c r="BP299" s="331"/>
      <c r="BQ299" s="331"/>
      <c r="BR299" s="331"/>
      <c r="BS299" s="331"/>
      <c r="BT299" s="331"/>
      <c r="BU299" s="331"/>
      <c r="BV299" s="331"/>
      <c r="BW299" s="331"/>
      <c r="BX299" s="331"/>
      <c r="BY299" s="331"/>
      <c r="BZ299" s="331"/>
      <c r="CA299" s="331"/>
      <c r="CB299" s="331"/>
      <c r="CC299" s="331"/>
      <c r="CD299" s="331"/>
      <c r="CE299" s="331"/>
      <c r="CF299" s="331"/>
      <c r="CG299" s="331"/>
      <c r="CH299" s="331"/>
      <c r="CI299" s="331"/>
      <c r="CJ299" s="331"/>
      <c r="CK299" s="331"/>
      <c r="CL299" s="331"/>
      <c r="CM299" s="331"/>
      <c r="CN299" s="331"/>
      <c r="CO299" s="331"/>
      <c r="CP299" s="331"/>
      <c r="CQ299" s="331"/>
      <c r="CR299" s="331"/>
      <c r="CS299" s="331"/>
      <c r="CT299" s="331"/>
      <c r="CU299" s="331"/>
      <c r="CV299" s="331"/>
      <c r="CW299" s="331"/>
      <c r="CX299" s="331"/>
      <c r="CY299" s="331"/>
      <c r="CZ299" s="331"/>
      <c r="DA299" s="331"/>
      <c r="DB299" s="331"/>
      <c r="DC299" s="331"/>
      <c r="DD299" s="331"/>
      <c r="DE299" s="331"/>
      <c r="DF299" s="331"/>
      <c r="DG299" s="331"/>
      <c r="DH299" s="331"/>
      <c r="DI299" s="331"/>
      <c r="DJ299" s="331"/>
      <c r="DK299" s="331"/>
      <c r="DL299" s="331"/>
      <c r="DM299" s="331"/>
      <c r="DN299" s="331"/>
      <c r="DO299" s="331"/>
      <c r="DP299" s="331"/>
      <c r="DQ299" s="331"/>
      <c r="DR299" s="331"/>
      <c r="DS299" s="331"/>
      <c r="DT299" s="331"/>
      <c r="DU299" s="331"/>
      <c r="DV299" s="331"/>
      <c r="DW299" s="331"/>
      <c r="DX299" s="331"/>
      <c r="DY299" s="331"/>
    </row>
    <row r="300" spans="1:129" s="332" customFormat="1" ht="76.5" x14ac:dyDescent="0.25">
      <c r="A300" s="259">
        <v>316</v>
      </c>
      <c r="B300" s="325" t="s">
        <v>674</v>
      </c>
      <c r="C300" s="259"/>
      <c r="D300" s="325"/>
      <c r="E300" s="259">
        <v>1</v>
      </c>
      <c r="F300" s="325" t="s">
        <v>112</v>
      </c>
      <c r="G300" s="282" t="s">
        <v>200</v>
      </c>
      <c r="H300" s="435" t="s">
        <v>129</v>
      </c>
      <c r="I300" s="282" t="s">
        <v>201</v>
      </c>
      <c r="J300" s="385" t="s">
        <v>202</v>
      </c>
      <c r="K300" s="282" t="s">
        <v>781</v>
      </c>
      <c r="L300" s="385" t="s">
        <v>782</v>
      </c>
      <c r="M300" s="279">
        <v>410204100</v>
      </c>
      <c r="N300" s="385" t="s">
        <v>783</v>
      </c>
      <c r="O300" s="272" t="s">
        <v>26</v>
      </c>
      <c r="P300" s="272">
        <v>12</v>
      </c>
      <c r="Q300" s="272">
        <v>11</v>
      </c>
      <c r="R300" s="281">
        <v>2024003630084</v>
      </c>
      <c r="S300" s="325" t="s">
        <v>784</v>
      </c>
      <c r="T300" s="328"/>
      <c r="U300" s="328"/>
      <c r="V300" s="328"/>
      <c r="W300" s="328"/>
      <c r="X300" s="328"/>
      <c r="Y300" s="328"/>
      <c r="Z300" s="328"/>
      <c r="AA300" s="328"/>
      <c r="AB300" s="328"/>
      <c r="AC300" s="328"/>
      <c r="AD300" s="328"/>
      <c r="AE300" s="328"/>
      <c r="AF300" s="328"/>
      <c r="AG300" s="328"/>
      <c r="AH300" s="328"/>
      <c r="AI300" s="328"/>
      <c r="AJ300" s="328"/>
      <c r="AK300" s="328"/>
      <c r="AL300" s="328">
        <v>107364500</v>
      </c>
      <c r="AM300" s="328">
        <v>87324791</v>
      </c>
      <c r="AN300" s="328">
        <v>71800000</v>
      </c>
      <c r="AO300" s="328"/>
      <c r="AP300" s="328"/>
      <c r="AQ300" s="328"/>
      <c r="AR300" s="328"/>
      <c r="AS300" s="328"/>
      <c r="AT300" s="328"/>
      <c r="AU300" s="328">
        <f t="shared" si="20"/>
        <v>107364500</v>
      </c>
      <c r="AV300" s="328">
        <f t="shared" si="17"/>
        <v>87324791</v>
      </c>
      <c r="AW300" s="328">
        <f t="shared" si="18"/>
        <v>71800000</v>
      </c>
      <c r="AX300" s="330" t="s">
        <v>679</v>
      </c>
      <c r="AY300" s="331"/>
      <c r="AZ300" s="331"/>
      <c r="BA300" s="331"/>
      <c r="BB300" s="331"/>
      <c r="BC300" s="331"/>
      <c r="BD300" s="331"/>
      <c r="BE300" s="331"/>
      <c r="BF300" s="331"/>
      <c r="BG300" s="331"/>
      <c r="BH300" s="331"/>
      <c r="BI300" s="331"/>
      <c r="BJ300" s="331"/>
      <c r="BK300" s="331"/>
      <c r="BL300" s="331"/>
      <c r="BM300" s="331"/>
      <c r="BN300" s="331"/>
      <c r="BO300" s="331"/>
      <c r="BP300" s="331"/>
      <c r="BQ300" s="331"/>
      <c r="BR300" s="331"/>
      <c r="BS300" s="331"/>
      <c r="BT300" s="331"/>
      <c r="BU300" s="331"/>
      <c r="BV300" s="331"/>
      <c r="BW300" s="331"/>
      <c r="BX300" s="331"/>
      <c r="BY300" s="331"/>
      <c r="BZ300" s="331"/>
      <c r="CA300" s="331"/>
      <c r="CB300" s="331"/>
      <c r="CC300" s="331"/>
      <c r="CD300" s="331"/>
      <c r="CE300" s="331"/>
      <c r="CF300" s="331"/>
      <c r="CG300" s="331"/>
      <c r="CH300" s="331"/>
      <c r="CI300" s="331"/>
      <c r="CJ300" s="331"/>
      <c r="CK300" s="331"/>
      <c r="CL300" s="331"/>
      <c r="CM300" s="331"/>
      <c r="CN300" s="331"/>
      <c r="CO300" s="331"/>
      <c r="CP300" s="331"/>
      <c r="CQ300" s="331"/>
      <c r="CR300" s="331"/>
      <c r="CS300" s="331"/>
      <c r="CT300" s="331"/>
      <c r="CU300" s="331"/>
      <c r="CV300" s="331"/>
      <c r="CW300" s="331"/>
      <c r="CX300" s="331"/>
      <c r="CY300" s="331"/>
      <c r="CZ300" s="331"/>
      <c r="DA300" s="331"/>
      <c r="DB300" s="331"/>
      <c r="DC300" s="331"/>
      <c r="DD300" s="331"/>
      <c r="DE300" s="331"/>
      <c r="DF300" s="331"/>
      <c r="DG300" s="331"/>
      <c r="DH300" s="331"/>
      <c r="DI300" s="331"/>
      <c r="DJ300" s="331"/>
      <c r="DK300" s="331"/>
      <c r="DL300" s="331"/>
      <c r="DM300" s="331"/>
      <c r="DN300" s="331"/>
      <c r="DO300" s="331"/>
      <c r="DP300" s="331"/>
      <c r="DQ300" s="331"/>
      <c r="DR300" s="331"/>
      <c r="DS300" s="331"/>
      <c r="DT300" s="331"/>
      <c r="DU300" s="331"/>
      <c r="DV300" s="331"/>
      <c r="DW300" s="331"/>
      <c r="DX300" s="331"/>
      <c r="DY300" s="331"/>
    </row>
    <row r="301" spans="1:129" s="332" customFormat="1" ht="76.5" x14ac:dyDescent="0.25">
      <c r="A301" s="259">
        <v>316</v>
      </c>
      <c r="B301" s="325" t="s">
        <v>674</v>
      </c>
      <c r="C301" s="259"/>
      <c r="D301" s="325"/>
      <c r="E301" s="259">
        <v>1</v>
      </c>
      <c r="F301" s="325" t="s">
        <v>112</v>
      </c>
      <c r="G301" s="282" t="s">
        <v>200</v>
      </c>
      <c r="H301" s="435" t="s">
        <v>129</v>
      </c>
      <c r="I301" s="282" t="s">
        <v>201</v>
      </c>
      <c r="J301" s="385" t="s">
        <v>202</v>
      </c>
      <c r="K301" s="282" t="s">
        <v>781</v>
      </c>
      <c r="L301" s="386" t="s">
        <v>782</v>
      </c>
      <c r="M301" s="279">
        <v>410204100</v>
      </c>
      <c r="N301" s="385" t="s">
        <v>783</v>
      </c>
      <c r="O301" s="272" t="s">
        <v>26</v>
      </c>
      <c r="P301" s="272">
        <v>12</v>
      </c>
      <c r="Q301" s="272">
        <v>5</v>
      </c>
      <c r="R301" s="281">
        <v>2024003630075</v>
      </c>
      <c r="S301" s="325" t="s">
        <v>785</v>
      </c>
      <c r="T301" s="328"/>
      <c r="U301" s="328"/>
      <c r="V301" s="328"/>
      <c r="W301" s="328"/>
      <c r="X301" s="328"/>
      <c r="Y301" s="328"/>
      <c r="Z301" s="328"/>
      <c r="AA301" s="328"/>
      <c r="AB301" s="328"/>
      <c r="AC301" s="328"/>
      <c r="AD301" s="328"/>
      <c r="AE301" s="328"/>
      <c r="AF301" s="328"/>
      <c r="AG301" s="328"/>
      <c r="AH301" s="328"/>
      <c r="AI301" s="328"/>
      <c r="AJ301" s="328"/>
      <c r="AK301" s="328"/>
      <c r="AL301" s="328">
        <v>20000000</v>
      </c>
      <c r="AM301" s="328">
        <v>19950000</v>
      </c>
      <c r="AN301" s="328">
        <v>13400000</v>
      </c>
      <c r="AO301" s="328"/>
      <c r="AP301" s="328"/>
      <c r="AQ301" s="328"/>
      <c r="AR301" s="328"/>
      <c r="AS301" s="328"/>
      <c r="AT301" s="328"/>
      <c r="AU301" s="328">
        <f t="shared" si="20"/>
        <v>20000000</v>
      </c>
      <c r="AV301" s="328">
        <f t="shared" si="17"/>
        <v>19950000</v>
      </c>
      <c r="AW301" s="328">
        <f t="shared" si="18"/>
        <v>13400000</v>
      </c>
      <c r="AX301" s="330" t="s">
        <v>679</v>
      </c>
      <c r="AY301" s="331"/>
      <c r="AZ301" s="331"/>
      <c r="BA301" s="331"/>
      <c r="BB301" s="331"/>
      <c r="BC301" s="331"/>
      <c r="BD301" s="331"/>
      <c r="BE301" s="331"/>
      <c r="BF301" s="331"/>
      <c r="BG301" s="331"/>
      <c r="BH301" s="331"/>
      <c r="BI301" s="331"/>
      <c r="BJ301" s="331"/>
      <c r="BK301" s="331"/>
      <c r="BL301" s="331"/>
      <c r="BM301" s="331"/>
      <c r="BN301" s="331"/>
      <c r="BO301" s="331"/>
      <c r="BP301" s="331"/>
      <c r="BQ301" s="331"/>
      <c r="BR301" s="331"/>
      <c r="BS301" s="331"/>
      <c r="BT301" s="331"/>
      <c r="BU301" s="331"/>
      <c r="BV301" s="331"/>
      <c r="BW301" s="331"/>
      <c r="BX301" s="331"/>
      <c r="BY301" s="331"/>
      <c r="BZ301" s="331"/>
      <c r="CA301" s="331"/>
      <c r="CB301" s="331"/>
      <c r="CC301" s="331"/>
      <c r="CD301" s="331"/>
      <c r="CE301" s="331"/>
      <c r="CF301" s="331"/>
      <c r="CG301" s="331"/>
      <c r="CH301" s="331"/>
      <c r="CI301" s="331"/>
      <c r="CJ301" s="331"/>
      <c r="CK301" s="331"/>
      <c r="CL301" s="331"/>
      <c r="CM301" s="331"/>
      <c r="CN301" s="331"/>
      <c r="CO301" s="331"/>
      <c r="CP301" s="331"/>
      <c r="CQ301" s="331"/>
      <c r="CR301" s="331"/>
      <c r="CS301" s="331"/>
      <c r="CT301" s="331"/>
      <c r="CU301" s="331"/>
      <c r="CV301" s="331"/>
      <c r="CW301" s="331"/>
      <c r="CX301" s="331"/>
      <c r="CY301" s="331"/>
      <c r="CZ301" s="331"/>
      <c r="DA301" s="331"/>
      <c r="DB301" s="331"/>
      <c r="DC301" s="331"/>
      <c r="DD301" s="331"/>
      <c r="DE301" s="331"/>
      <c r="DF301" s="331"/>
      <c r="DG301" s="331"/>
      <c r="DH301" s="331"/>
      <c r="DI301" s="331"/>
      <c r="DJ301" s="331"/>
      <c r="DK301" s="331"/>
      <c r="DL301" s="331"/>
      <c r="DM301" s="331"/>
      <c r="DN301" s="331"/>
      <c r="DO301" s="331"/>
      <c r="DP301" s="331"/>
      <c r="DQ301" s="331"/>
      <c r="DR301" s="331"/>
      <c r="DS301" s="331"/>
      <c r="DT301" s="331"/>
      <c r="DU301" s="331"/>
      <c r="DV301" s="331"/>
      <c r="DW301" s="331"/>
      <c r="DX301" s="331"/>
      <c r="DY301" s="331"/>
    </row>
    <row r="302" spans="1:129" s="332" customFormat="1" ht="51" x14ac:dyDescent="0.25">
      <c r="A302" s="259">
        <v>316</v>
      </c>
      <c r="B302" s="325" t="s">
        <v>674</v>
      </c>
      <c r="C302" s="259"/>
      <c r="D302" s="325"/>
      <c r="E302" s="259">
        <v>4</v>
      </c>
      <c r="F302" s="325" t="s">
        <v>102</v>
      </c>
      <c r="G302" s="343" t="s">
        <v>29</v>
      </c>
      <c r="H302" s="385" t="s">
        <v>22</v>
      </c>
      <c r="I302" s="343" t="s">
        <v>31</v>
      </c>
      <c r="J302" s="385" t="s">
        <v>32</v>
      </c>
      <c r="K302" s="343" t="s">
        <v>322</v>
      </c>
      <c r="L302" s="386" t="s">
        <v>173</v>
      </c>
      <c r="M302" s="279">
        <v>459901900</v>
      </c>
      <c r="N302" s="385" t="s">
        <v>324</v>
      </c>
      <c r="O302" s="272" t="s">
        <v>67</v>
      </c>
      <c r="P302" s="272">
        <v>1</v>
      </c>
      <c r="Q302" s="272">
        <v>0.25</v>
      </c>
      <c r="R302" s="281">
        <v>2024003630114</v>
      </c>
      <c r="S302" s="325" t="s">
        <v>786</v>
      </c>
      <c r="T302" s="328"/>
      <c r="U302" s="328"/>
      <c r="V302" s="328"/>
      <c r="W302" s="328"/>
      <c r="X302" s="328"/>
      <c r="Y302" s="328"/>
      <c r="Z302" s="328"/>
      <c r="AA302" s="328"/>
      <c r="AB302" s="328"/>
      <c r="AC302" s="328"/>
      <c r="AD302" s="328"/>
      <c r="AE302" s="328"/>
      <c r="AF302" s="328"/>
      <c r="AG302" s="328"/>
      <c r="AH302" s="328"/>
      <c r="AI302" s="328"/>
      <c r="AJ302" s="328"/>
      <c r="AK302" s="328"/>
      <c r="AL302" s="328">
        <v>20000000</v>
      </c>
      <c r="AM302" s="328">
        <v>20000000</v>
      </c>
      <c r="AN302" s="328">
        <v>7800000</v>
      </c>
      <c r="AO302" s="328"/>
      <c r="AP302" s="328"/>
      <c r="AQ302" s="328"/>
      <c r="AR302" s="328"/>
      <c r="AS302" s="328"/>
      <c r="AT302" s="328"/>
      <c r="AU302" s="328">
        <f t="shared" si="20"/>
        <v>20000000</v>
      </c>
      <c r="AV302" s="328">
        <f t="shared" si="17"/>
        <v>20000000</v>
      </c>
      <c r="AW302" s="328">
        <f t="shared" si="18"/>
        <v>7800000</v>
      </c>
      <c r="AX302" s="330" t="s">
        <v>679</v>
      </c>
      <c r="AY302" s="331"/>
      <c r="AZ302" s="331"/>
      <c r="BA302" s="331"/>
      <c r="BB302" s="331"/>
      <c r="BC302" s="331"/>
      <c r="BD302" s="331"/>
      <c r="BE302" s="331"/>
      <c r="BF302" s="331"/>
      <c r="BG302" s="331"/>
      <c r="BH302" s="331"/>
      <c r="BI302" s="331"/>
      <c r="BJ302" s="331"/>
      <c r="BK302" s="331"/>
      <c r="BL302" s="331"/>
      <c r="BM302" s="331"/>
      <c r="BN302" s="331"/>
      <c r="BO302" s="331"/>
      <c r="BP302" s="331"/>
      <c r="BQ302" s="331"/>
      <c r="BR302" s="331"/>
      <c r="BS302" s="331"/>
      <c r="BT302" s="331"/>
      <c r="BU302" s="331"/>
      <c r="BV302" s="331"/>
      <c r="BW302" s="331"/>
      <c r="BX302" s="331"/>
      <c r="BY302" s="331"/>
      <c r="BZ302" s="331"/>
      <c r="CA302" s="331"/>
      <c r="CB302" s="331"/>
      <c r="CC302" s="331"/>
      <c r="CD302" s="331"/>
      <c r="CE302" s="331"/>
      <c r="CF302" s="331"/>
      <c r="CG302" s="331"/>
      <c r="CH302" s="331"/>
      <c r="CI302" s="331"/>
      <c r="CJ302" s="331"/>
      <c r="CK302" s="331"/>
      <c r="CL302" s="331"/>
      <c r="CM302" s="331"/>
      <c r="CN302" s="331"/>
      <c r="CO302" s="331"/>
      <c r="CP302" s="331"/>
      <c r="CQ302" s="331"/>
      <c r="CR302" s="331"/>
      <c r="CS302" s="331"/>
      <c r="CT302" s="331"/>
      <c r="CU302" s="331"/>
      <c r="CV302" s="331"/>
      <c r="CW302" s="331"/>
      <c r="CX302" s="331"/>
      <c r="CY302" s="331"/>
      <c r="CZ302" s="331"/>
      <c r="DA302" s="331"/>
      <c r="DB302" s="331"/>
      <c r="DC302" s="331"/>
      <c r="DD302" s="331"/>
      <c r="DE302" s="331"/>
      <c r="DF302" s="331"/>
      <c r="DG302" s="331"/>
      <c r="DH302" s="331"/>
      <c r="DI302" s="331"/>
      <c r="DJ302" s="331"/>
      <c r="DK302" s="331"/>
      <c r="DL302" s="331"/>
      <c r="DM302" s="331"/>
      <c r="DN302" s="331"/>
      <c r="DO302" s="331"/>
      <c r="DP302" s="331"/>
      <c r="DQ302" s="331"/>
      <c r="DR302" s="331"/>
      <c r="DS302" s="331"/>
      <c r="DT302" s="331"/>
      <c r="DU302" s="331"/>
      <c r="DV302" s="331"/>
      <c r="DW302" s="331"/>
      <c r="DX302" s="331"/>
      <c r="DY302" s="331"/>
    </row>
    <row r="303" spans="1:129" s="332" customFormat="1" ht="63.75" x14ac:dyDescent="0.25">
      <c r="A303" s="259">
        <v>316</v>
      </c>
      <c r="B303" s="325" t="s">
        <v>674</v>
      </c>
      <c r="C303" s="259"/>
      <c r="D303" s="325"/>
      <c r="E303" s="259">
        <v>4</v>
      </c>
      <c r="F303" s="325" t="s">
        <v>102</v>
      </c>
      <c r="G303" s="343" t="s">
        <v>29</v>
      </c>
      <c r="H303" s="385" t="s">
        <v>22</v>
      </c>
      <c r="I303" s="282" t="s">
        <v>53</v>
      </c>
      <c r="J303" s="385" t="s">
        <v>49</v>
      </c>
      <c r="K303" s="282" t="s">
        <v>787</v>
      </c>
      <c r="L303" s="385" t="s">
        <v>788</v>
      </c>
      <c r="M303" s="279">
        <v>450203900</v>
      </c>
      <c r="N303" s="385" t="s">
        <v>789</v>
      </c>
      <c r="O303" s="272" t="s">
        <v>67</v>
      </c>
      <c r="P303" s="272">
        <v>20</v>
      </c>
      <c r="Q303" s="272">
        <v>0</v>
      </c>
      <c r="R303" s="281">
        <v>2024003630117</v>
      </c>
      <c r="S303" s="325" t="s">
        <v>790</v>
      </c>
      <c r="T303" s="328"/>
      <c r="U303" s="328"/>
      <c r="V303" s="328"/>
      <c r="W303" s="328"/>
      <c r="X303" s="328"/>
      <c r="Y303" s="328"/>
      <c r="Z303" s="328"/>
      <c r="AA303" s="328"/>
      <c r="AB303" s="328"/>
      <c r="AC303" s="328"/>
      <c r="AD303" s="328"/>
      <c r="AE303" s="328"/>
      <c r="AF303" s="328"/>
      <c r="AG303" s="328"/>
      <c r="AH303" s="328"/>
      <c r="AI303" s="328"/>
      <c r="AJ303" s="328"/>
      <c r="AK303" s="328"/>
      <c r="AL303" s="328">
        <f>200000000-200000000</f>
        <v>0</v>
      </c>
      <c r="AM303" s="328"/>
      <c r="AN303" s="328"/>
      <c r="AO303" s="328">
        <v>200000000</v>
      </c>
      <c r="AP303" s="328"/>
      <c r="AQ303" s="328"/>
      <c r="AR303" s="328"/>
      <c r="AS303" s="328"/>
      <c r="AT303" s="328"/>
      <c r="AU303" s="328">
        <f t="shared" si="20"/>
        <v>200000000</v>
      </c>
      <c r="AV303" s="328">
        <f t="shared" si="17"/>
        <v>0</v>
      </c>
      <c r="AW303" s="328">
        <f t="shared" si="18"/>
        <v>0</v>
      </c>
      <c r="AX303" s="330" t="s">
        <v>679</v>
      </c>
      <c r="AY303" s="331"/>
      <c r="AZ303" s="331"/>
      <c r="BA303" s="331"/>
      <c r="BB303" s="331"/>
      <c r="BC303" s="331"/>
      <c r="BD303" s="331"/>
      <c r="BE303" s="331"/>
      <c r="BF303" s="331"/>
      <c r="BG303" s="331"/>
      <c r="BH303" s="331"/>
      <c r="BI303" s="331"/>
      <c r="BJ303" s="331"/>
      <c r="BK303" s="331"/>
      <c r="BL303" s="331"/>
      <c r="BM303" s="331"/>
      <c r="BN303" s="331"/>
      <c r="BO303" s="331"/>
      <c r="BP303" s="331"/>
      <c r="BQ303" s="331"/>
      <c r="BR303" s="331"/>
      <c r="BS303" s="331"/>
      <c r="BT303" s="331"/>
      <c r="BU303" s="331"/>
      <c r="BV303" s="331"/>
      <c r="BW303" s="331"/>
      <c r="BX303" s="331"/>
      <c r="BY303" s="331"/>
      <c r="BZ303" s="331"/>
      <c r="CA303" s="331"/>
      <c r="CB303" s="331"/>
      <c r="CC303" s="331"/>
      <c r="CD303" s="331"/>
      <c r="CE303" s="331"/>
      <c r="CF303" s="331"/>
      <c r="CG303" s="331"/>
      <c r="CH303" s="331"/>
      <c r="CI303" s="331"/>
      <c r="CJ303" s="331"/>
      <c r="CK303" s="331"/>
      <c r="CL303" s="331"/>
      <c r="CM303" s="331"/>
      <c r="CN303" s="331"/>
      <c r="CO303" s="331"/>
      <c r="CP303" s="331"/>
      <c r="CQ303" s="331"/>
      <c r="CR303" s="331"/>
      <c r="CS303" s="331"/>
      <c r="CT303" s="331"/>
      <c r="CU303" s="331"/>
      <c r="CV303" s="331"/>
      <c r="CW303" s="331"/>
      <c r="CX303" s="331"/>
      <c r="CY303" s="331"/>
      <c r="CZ303" s="331"/>
      <c r="DA303" s="331"/>
      <c r="DB303" s="331"/>
      <c r="DC303" s="331"/>
      <c r="DD303" s="331"/>
      <c r="DE303" s="331"/>
      <c r="DF303" s="331"/>
      <c r="DG303" s="331"/>
      <c r="DH303" s="331"/>
      <c r="DI303" s="331"/>
      <c r="DJ303" s="331"/>
      <c r="DK303" s="331"/>
      <c r="DL303" s="331"/>
      <c r="DM303" s="331"/>
      <c r="DN303" s="331"/>
      <c r="DO303" s="331"/>
      <c r="DP303" s="331"/>
      <c r="DQ303" s="331"/>
      <c r="DR303" s="331"/>
      <c r="DS303" s="331"/>
      <c r="DT303" s="331"/>
      <c r="DU303" s="331"/>
      <c r="DV303" s="331"/>
      <c r="DW303" s="331"/>
      <c r="DX303" s="331"/>
      <c r="DY303" s="331"/>
    </row>
    <row r="304" spans="1:129" s="332" customFormat="1" ht="51" x14ac:dyDescent="0.25">
      <c r="A304" s="259">
        <v>316</v>
      </c>
      <c r="B304" s="325" t="s">
        <v>674</v>
      </c>
      <c r="C304" s="259"/>
      <c r="D304" s="325"/>
      <c r="E304" s="259">
        <v>4</v>
      </c>
      <c r="F304" s="325" t="s">
        <v>102</v>
      </c>
      <c r="G304" s="343" t="s">
        <v>29</v>
      </c>
      <c r="H304" s="385" t="s">
        <v>22</v>
      </c>
      <c r="I304" s="343" t="s">
        <v>31</v>
      </c>
      <c r="J304" s="385" t="s">
        <v>32</v>
      </c>
      <c r="K304" s="343" t="s">
        <v>88</v>
      </c>
      <c r="L304" s="386" t="s">
        <v>89</v>
      </c>
      <c r="M304" s="279">
        <v>459900100</v>
      </c>
      <c r="N304" s="386" t="s">
        <v>91</v>
      </c>
      <c r="O304" s="272" t="s">
        <v>26</v>
      </c>
      <c r="P304" s="272">
        <v>9</v>
      </c>
      <c r="Q304" s="272">
        <v>9</v>
      </c>
      <c r="R304" s="281">
        <v>2024003630114</v>
      </c>
      <c r="S304" s="325" t="s">
        <v>786</v>
      </c>
      <c r="T304" s="328"/>
      <c r="U304" s="328"/>
      <c r="V304" s="328"/>
      <c r="W304" s="328"/>
      <c r="X304" s="328"/>
      <c r="Y304" s="328"/>
      <c r="Z304" s="328"/>
      <c r="AA304" s="328"/>
      <c r="AB304" s="328"/>
      <c r="AC304" s="328"/>
      <c r="AD304" s="328"/>
      <c r="AE304" s="328"/>
      <c r="AF304" s="328"/>
      <c r="AG304" s="328"/>
      <c r="AH304" s="328"/>
      <c r="AI304" s="328"/>
      <c r="AJ304" s="328"/>
      <c r="AK304" s="328"/>
      <c r="AL304" s="328">
        <v>20000000</v>
      </c>
      <c r="AM304" s="328">
        <v>20000000</v>
      </c>
      <c r="AN304" s="328">
        <v>12300000</v>
      </c>
      <c r="AO304" s="328"/>
      <c r="AP304" s="328"/>
      <c r="AQ304" s="328"/>
      <c r="AR304" s="328"/>
      <c r="AS304" s="328"/>
      <c r="AT304" s="328"/>
      <c r="AU304" s="328">
        <f t="shared" si="20"/>
        <v>20000000</v>
      </c>
      <c r="AV304" s="328">
        <f t="shared" si="17"/>
        <v>20000000</v>
      </c>
      <c r="AW304" s="328">
        <f t="shared" si="18"/>
        <v>12300000</v>
      </c>
      <c r="AX304" s="330" t="s">
        <v>679</v>
      </c>
      <c r="AY304" s="331"/>
      <c r="AZ304" s="331"/>
      <c r="BA304" s="331"/>
      <c r="BB304" s="331"/>
      <c r="BC304" s="331"/>
      <c r="BD304" s="331"/>
      <c r="BE304" s="331"/>
      <c r="BF304" s="331"/>
      <c r="BG304" s="331"/>
      <c r="BH304" s="331"/>
      <c r="BI304" s="331"/>
      <c r="BJ304" s="331"/>
      <c r="BK304" s="331"/>
      <c r="BL304" s="331"/>
      <c r="BM304" s="331"/>
      <c r="BN304" s="331"/>
      <c r="BO304" s="331"/>
      <c r="BP304" s="331"/>
      <c r="BQ304" s="331"/>
      <c r="BR304" s="331"/>
      <c r="BS304" s="331"/>
      <c r="BT304" s="331"/>
      <c r="BU304" s="331"/>
      <c r="BV304" s="331"/>
      <c r="BW304" s="331"/>
      <c r="BX304" s="331"/>
      <c r="BY304" s="331"/>
      <c r="BZ304" s="331"/>
      <c r="CA304" s="331"/>
      <c r="CB304" s="331"/>
      <c r="CC304" s="331"/>
      <c r="CD304" s="331"/>
      <c r="CE304" s="331"/>
      <c r="CF304" s="331"/>
      <c r="CG304" s="331"/>
      <c r="CH304" s="331"/>
      <c r="CI304" s="331"/>
      <c r="CJ304" s="331"/>
      <c r="CK304" s="331"/>
      <c r="CL304" s="331"/>
      <c r="CM304" s="331"/>
      <c r="CN304" s="331"/>
      <c r="CO304" s="331"/>
      <c r="CP304" s="331"/>
      <c r="CQ304" s="331"/>
      <c r="CR304" s="331"/>
      <c r="CS304" s="331"/>
      <c r="CT304" s="331"/>
      <c r="CU304" s="331"/>
      <c r="CV304" s="331"/>
      <c r="CW304" s="331"/>
      <c r="CX304" s="331"/>
      <c r="CY304" s="331"/>
      <c r="CZ304" s="331"/>
      <c r="DA304" s="331"/>
      <c r="DB304" s="331"/>
      <c r="DC304" s="331"/>
      <c r="DD304" s="331"/>
      <c r="DE304" s="331"/>
      <c r="DF304" s="331"/>
      <c r="DG304" s="331"/>
      <c r="DH304" s="331"/>
      <c r="DI304" s="331"/>
      <c r="DJ304" s="331"/>
      <c r="DK304" s="331"/>
      <c r="DL304" s="331"/>
      <c r="DM304" s="331"/>
      <c r="DN304" s="331"/>
      <c r="DO304" s="331"/>
      <c r="DP304" s="331"/>
      <c r="DQ304" s="331"/>
      <c r="DR304" s="331"/>
      <c r="DS304" s="331"/>
      <c r="DT304" s="331"/>
      <c r="DU304" s="331"/>
      <c r="DV304" s="331"/>
      <c r="DW304" s="331"/>
      <c r="DX304" s="331"/>
      <c r="DY304" s="331"/>
    </row>
    <row r="305" spans="1:129" s="459" customFormat="1" ht="38.25" x14ac:dyDescent="0.25">
      <c r="A305" s="292">
        <v>318</v>
      </c>
      <c r="B305" s="454" t="s">
        <v>791</v>
      </c>
      <c r="C305" s="292">
        <v>1</v>
      </c>
      <c r="D305" s="454" t="s">
        <v>105</v>
      </c>
      <c r="E305" s="292">
        <v>1</v>
      </c>
      <c r="F305" s="454" t="s">
        <v>112</v>
      </c>
      <c r="G305" s="292">
        <v>19</v>
      </c>
      <c r="H305" s="454" t="s">
        <v>195</v>
      </c>
      <c r="I305" s="292">
        <v>1903</v>
      </c>
      <c r="J305" s="454" t="s">
        <v>196</v>
      </c>
      <c r="K305" s="292">
        <v>1903009</v>
      </c>
      <c r="L305" s="454" t="s">
        <v>792</v>
      </c>
      <c r="M305" s="299">
        <v>190300900</v>
      </c>
      <c r="N305" s="453" t="s">
        <v>793</v>
      </c>
      <c r="O305" s="299" t="s">
        <v>67</v>
      </c>
      <c r="P305" s="299">
        <v>960</v>
      </c>
      <c r="Q305" s="299">
        <v>184</v>
      </c>
      <c r="R305" s="337">
        <v>2020003630116</v>
      </c>
      <c r="S305" s="454" t="s">
        <v>794</v>
      </c>
      <c r="T305" s="457"/>
      <c r="U305" s="457"/>
      <c r="V305" s="457"/>
      <c r="W305" s="457"/>
      <c r="X305" s="457"/>
      <c r="Y305" s="457"/>
      <c r="Z305" s="457">
        <f>78000000-39536667</f>
        <v>38463333</v>
      </c>
      <c r="AA305" s="457">
        <v>38463333</v>
      </c>
      <c r="AB305" s="457">
        <v>38463333</v>
      </c>
      <c r="AC305" s="457"/>
      <c r="AD305" s="457"/>
      <c r="AE305" s="457"/>
      <c r="AF305" s="457"/>
      <c r="AG305" s="457"/>
      <c r="AH305" s="457"/>
      <c r="AI305" s="457"/>
      <c r="AJ305" s="457"/>
      <c r="AK305" s="457"/>
      <c r="AL305" s="470"/>
      <c r="AM305" s="470"/>
      <c r="AN305" s="470"/>
      <c r="AO305" s="457"/>
      <c r="AP305" s="457"/>
      <c r="AQ305" s="457"/>
      <c r="AR305" s="457"/>
      <c r="AS305" s="457"/>
      <c r="AT305" s="457"/>
      <c r="AU305" s="457">
        <f t="shared" si="20"/>
        <v>38463333</v>
      </c>
      <c r="AV305" s="457">
        <f t="shared" si="17"/>
        <v>38463333</v>
      </c>
      <c r="AW305" s="457">
        <f t="shared" si="18"/>
        <v>38463333</v>
      </c>
      <c r="AX305" s="475" t="s">
        <v>795</v>
      </c>
    </row>
    <row r="306" spans="1:129" s="459" customFormat="1" ht="140.25" x14ac:dyDescent="0.25">
      <c r="A306" s="292">
        <v>318</v>
      </c>
      <c r="B306" s="454" t="s">
        <v>791</v>
      </c>
      <c r="C306" s="292">
        <v>1</v>
      </c>
      <c r="D306" s="454" t="s">
        <v>105</v>
      </c>
      <c r="E306" s="292">
        <v>1</v>
      </c>
      <c r="F306" s="454" t="s">
        <v>112</v>
      </c>
      <c r="G306" s="292">
        <v>19</v>
      </c>
      <c r="H306" s="454" t="s">
        <v>195</v>
      </c>
      <c r="I306" s="292">
        <v>1903</v>
      </c>
      <c r="J306" s="454" t="s">
        <v>196</v>
      </c>
      <c r="K306" s="292">
        <v>1903050</v>
      </c>
      <c r="L306" s="454" t="s">
        <v>796</v>
      </c>
      <c r="M306" s="299" t="s">
        <v>1251</v>
      </c>
      <c r="N306" s="453" t="s">
        <v>797</v>
      </c>
      <c r="O306" s="299" t="s">
        <v>26</v>
      </c>
      <c r="P306" s="299">
        <v>12</v>
      </c>
      <c r="Q306" s="299">
        <v>4</v>
      </c>
      <c r="R306" s="337">
        <v>2020003630116</v>
      </c>
      <c r="S306" s="454" t="s">
        <v>794</v>
      </c>
      <c r="T306" s="457"/>
      <c r="U306" s="457"/>
      <c r="V306" s="457"/>
      <c r="W306" s="457"/>
      <c r="X306" s="457"/>
      <c r="Y306" s="457"/>
      <c r="Z306" s="457">
        <f>48000000-26170001</f>
        <v>21829999</v>
      </c>
      <c r="AA306" s="457">
        <v>21829999</v>
      </c>
      <c r="AB306" s="457">
        <v>21829999</v>
      </c>
      <c r="AC306" s="457"/>
      <c r="AD306" s="457"/>
      <c r="AE306" s="457"/>
      <c r="AF306" s="457"/>
      <c r="AG306" s="457"/>
      <c r="AH306" s="457"/>
      <c r="AI306" s="457"/>
      <c r="AJ306" s="457"/>
      <c r="AK306" s="457"/>
      <c r="AL306" s="470"/>
      <c r="AM306" s="470"/>
      <c r="AN306" s="470"/>
      <c r="AO306" s="457"/>
      <c r="AP306" s="457"/>
      <c r="AQ306" s="457"/>
      <c r="AR306" s="457"/>
      <c r="AS306" s="457"/>
      <c r="AT306" s="457"/>
      <c r="AU306" s="457">
        <f t="shared" si="20"/>
        <v>21829999</v>
      </c>
      <c r="AV306" s="457">
        <f t="shared" si="17"/>
        <v>21829999</v>
      </c>
      <c r="AW306" s="457">
        <f t="shared" si="18"/>
        <v>21829999</v>
      </c>
      <c r="AX306" s="475" t="s">
        <v>795</v>
      </c>
    </row>
    <row r="307" spans="1:129" s="459" customFormat="1" ht="38.25" x14ac:dyDescent="0.25">
      <c r="A307" s="292">
        <v>318</v>
      </c>
      <c r="B307" s="454" t="s">
        <v>791</v>
      </c>
      <c r="C307" s="292">
        <v>1</v>
      </c>
      <c r="D307" s="454" t="s">
        <v>105</v>
      </c>
      <c r="E307" s="292">
        <v>1</v>
      </c>
      <c r="F307" s="454" t="s">
        <v>112</v>
      </c>
      <c r="G307" s="292">
        <v>19</v>
      </c>
      <c r="H307" s="454" t="s">
        <v>195</v>
      </c>
      <c r="I307" s="292">
        <v>1903</v>
      </c>
      <c r="J307" s="454" t="s">
        <v>196</v>
      </c>
      <c r="K307" s="292">
        <v>1903031</v>
      </c>
      <c r="L307" s="454" t="s">
        <v>798</v>
      </c>
      <c r="M307" s="299">
        <v>190303100</v>
      </c>
      <c r="N307" s="453" t="s">
        <v>799</v>
      </c>
      <c r="O307" s="299" t="s">
        <v>26</v>
      </c>
      <c r="P307" s="299">
        <v>12</v>
      </c>
      <c r="Q307" s="299">
        <v>9</v>
      </c>
      <c r="R307" s="337">
        <v>2020003630116</v>
      </c>
      <c r="S307" s="454" t="s">
        <v>794</v>
      </c>
      <c r="T307" s="457"/>
      <c r="U307" s="457"/>
      <c r="V307" s="457"/>
      <c r="W307" s="457"/>
      <c r="X307" s="457"/>
      <c r="Y307" s="457"/>
      <c r="Z307" s="457">
        <f>76800000-40400000</f>
        <v>36400000</v>
      </c>
      <c r="AA307" s="457">
        <v>36400000</v>
      </c>
      <c r="AB307" s="457">
        <v>36400000</v>
      </c>
      <c r="AC307" s="457"/>
      <c r="AD307" s="457"/>
      <c r="AE307" s="457"/>
      <c r="AF307" s="457"/>
      <c r="AG307" s="457"/>
      <c r="AH307" s="457"/>
      <c r="AI307" s="457"/>
      <c r="AJ307" s="457"/>
      <c r="AK307" s="457"/>
      <c r="AL307" s="470"/>
      <c r="AM307" s="470"/>
      <c r="AN307" s="470"/>
      <c r="AO307" s="457"/>
      <c r="AP307" s="457"/>
      <c r="AQ307" s="457"/>
      <c r="AR307" s="457"/>
      <c r="AS307" s="457"/>
      <c r="AT307" s="457"/>
      <c r="AU307" s="457">
        <f t="shared" si="20"/>
        <v>36400000</v>
      </c>
      <c r="AV307" s="457">
        <f t="shared" si="17"/>
        <v>36400000</v>
      </c>
      <c r="AW307" s="457">
        <f t="shared" si="18"/>
        <v>36400000</v>
      </c>
      <c r="AX307" s="475" t="s">
        <v>795</v>
      </c>
    </row>
    <row r="308" spans="1:129" s="332" customFormat="1" ht="63.75" x14ac:dyDescent="0.25">
      <c r="A308" s="259">
        <v>318</v>
      </c>
      <c r="B308" s="325" t="s">
        <v>791</v>
      </c>
      <c r="C308" s="259"/>
      <c r="D308" s="325"/>
      <c r="E308" s="259">
        <v>1</v>
      </c>
      <c r="F308" s="325" t="s">
        <v>112</v>
      </c>
      <c r="G308" s="259">
        <v>19</v>
      </c>
      <c r="H308" s="385" t="s">
        <v>195</v>
      </c>
      <c r="I308" s="259">
        <v>1903</v>
      </c>
      <c r="J308" s="325" t="s">
        <v>196</v>
      </c>
      <c r="K308" s="259">
        <v>1903031</v>
      </c>
      <c r="L308" s="325" t="s">
        <v>798</v>
      </c>
      <c r="M308" s="272">
        <v>190303100</v>
      </c>
      <c r="N308" s="333" t="s">
        <v>799</v>
      </c>
      <c r="O308" s="272" t="s">
        <v>26</v>
      </c>
      <c r="P308" s="280">
        <v>12</v>
      </c>
      <c r="Q308" s="280">
        <v>9</v>
      </c>
      <c r="R308" s="281">
        <v>2024003630124</v>
      </c>
      <c r="S308" s="325" t="s">
        <v>800</v>
      </c>
      <c r="T308" s="328"/>
      <c r="U308" s="328"/>
      <c r="V308" s="328"/>
      <c r="W308" s="328"/>
      <c r="X308" s="328"/>
      <c r="Y308" s="328"/>
      <c r="Z308" s="328">
        <v>97800000</v>
      </c>
      <c r="AA308" s="328">
        <v>14333333</v>
      </c>
      <c r="AB308" s="328">
        <v>8600000</v>
      </c>
      <c r="AC308" s="328"/>
      <c r="AD308" s="328"/>
      <c r="AE308" s="328"/>
      <c r="AF308" s="328"/>
      <c r="AG308" s="328"/>
      <c r="AH308" s="328"/>
      <c r="AI308" s="328"/>
      <c r="AJ308" s="328"/>
      <c r="AK308" s="328"/>
      <c r="AL308" s="404"/>
      <c r="AM308" s="404"/>
      <c r="AN308" s="404"/>
      <c r="AO308" s="328"/>
      <c r="AP308" s="328"/>
      <c r="AQ308" s="328"/>
      <c r="AR308" s="328"/>
      <c r="AS308" s="328"/>
      <c r="AT308" s="328"/>
      <c r="AU308" s="328">
        <f t="shared" si="20"/>
        <v>97800000</v>
      </c>
      <c r="AV308" s="328">
        <f t="shared" si="17"/>
        <v>14333333</v>
      </c>
      <c r="AW308" s="328">
        <f t="shared" si="18"/>
        <v>8600000</v>
      </c>
      <c r="AX308" s="330"/>
      <c r="AY308" s="331"/>
      <c r="AZ308" s="331"/>
      <c r="BA308" s="331"/>
      <c r="BB308" s="331"/>
      <c r="BC308" s="331"/>
      <c r="BD308" s="331"/>
      <c r="BE308" s="331"/>
      <c r="BF308" s="331"/>
      <c r="BG308" s="331"/>
      <c r="BH308" s="331"/>
      <c r="BI308" s="331"/>
      <c r="BJ308" s="331"/>
      <c r="BK308" s="331"/>
      <c r="BL308" s="331"/>
      <c r="BM308" s="331"/>
      <c r="BN308" s="331"/>
      <c r="BO308" s="331"/>
      <c r="BP308" s="331"/>
      <c r="BQ308" s="331"/>
      <c r="BR308" s="331"/>
      <c r="BS308" s="331"/>
      <c r="BT308" s="331"/>
      <c r="BU308" s="331"/>
      <c r="BV308" s="331"/>
      <c r="BW308" s="331"/>
      <c r="BX308" s="331"/>
      <c r="BY308" s="331"/>
      <c r="BZ308" s="331"/>
      <c r="CA308" s="331"/>
      <c r="CB308" s="331"/>
      <c r="CC308" s="331"/>
      <c r="CD308" s="331"/>
      <c r="CE308" s="331"/>
      <c r="CF308" s="331"/>
      <c r="CG308" s="331"/>
      <c r="CH308" s="331"/>
      <c r="CI308" s="331"/>
      <c r="CJ308" s="331"/>
      <c r="CK308" s="331"/>
      <c r="CL308" s="331"/>
      <c r="CM308" s="331"/>
      <c r="CN308" s="331"/>
      <c r="CO308" s="331"/>
      <c r="CP308" s="331"/>
      <c r="CQ308" s="331"/>
      <c r="CR308" s="331"/>
      <c r="CS308" s="331"/>
      <c r="CT308" s="331"/>
      <c r="CU308" s="331"/>
      <c r="CV308" s="331"/>
      <c r="CW308" s="331"/>
      <c r="CX308" s="331"/>
      <c r="CY308" s="331"/>
      <c r="CZ308" s="331"/>
      <c r="DA308" s="331"/>
      <c r="DB308" s="331"/>
      <c r="DC308" s="331"/>
      <c r="DD308" s="331"/>
      <c r="DE308" s="331"/>
      <c r="DF308" s="331"/>
      <c r="DG308" s="331"/>
      <c r="DH308" s="331"/>
      <c r="DI308" s="331"/>
      <c r="DJ308" s="331"/>
      <c r="DK308" s="331"/>
      <c r="DL308" s="331"/>
      <c r="DM308" s="331"/>
      <c r="DN308" s="331"/>
      <c r="DO308" s="331"/>
      <c r="DP308" s="331"/>
      <c r="DQ308" s="331"/>
      <c r="DR308" s="331"/>
      <c r="DS308" s="331"/>
      <c r="DT308" s="331"/>
      <c r="DU308" s="331"/>
      <c r="DV308" s="331"/>
      <c r="DW308" s="331"/>
      <c r="DX308" s="331"/>
      <c r="DY308" s="331"/>
    </row>
    <row r="309" spans="1:129" s="331" customFormat="1" ht="63.75" x14ac:dyDescent="0.25">
      <c r="A309" s="257">
        <v>318</v>
      </c>
      <c r="B309" s="376" t="s">
        <v>791</v>
      </c>
      <c r="C309" s="257">
        <v>1</v>
      </c>
      <c r="D309" s="376" t="s">
        <v>105</v>
      </c>
      <c r="E309" s="257">
        <v>1</v>
      </c>
      <c r="F309" s="376" t="s">
        <v>112</v>
      </c>
      <c r="G309" s="257">
        <v>19</v>
      </c>
      <c r="H309" s="376" t="s">
        <v>195</v>
      </c>
      <c r="I309" s="257">
        <v>1903</v>
      </c>
      <c r="J309" s="376" t="s">
        <v>196</v>
      </c>
      <c r="K309" s="257">
        <v>1903023</v>
      </c>
      <c r="L309" s="376" t="s">
        <v>801</v>
      </c>
      <c r="M309" s="280">
        <v>190302300</v>
      </c>
      <c r="N309" s="388" t="s">
        <v>802</v>
      </c>
      <c r="O309" s="280" t="s">
        <v>26</v>
      </c>
      <c r="P309" s="280">
        <v>12</v>
      </c>
      <c r="Q309" s="280">
        <v>12</v>
      </c>
      <c r="R309" s="380">
        <v>2020003630116</v>
      </c>
      <c r="S309" s="376" t="s">
        <v>794</v>
      </c>
      <c r="T309" s="381"/>
      <c r="U309" s="381"/>
      <c r="V309" s="381"/>
      <c r="W309" s="381"/>
      <c r="X309" s="381"/>
      <c r="Y309" s="381"/>
      <c r="Z309" s="381">
        <v>20000000</v>
      </c>
      <c r="AA309" s="381">
        <v>20000000</v>
      </c>
      <c r="AB309" s="381">
        <v>20000000</v>
      </c>
      <c r="AC309" s="381"/>
      <c r="AD309" s="381"/>
      <c r="AE309" s="381"/>
      <c r="AF309" s="381"/>
      <c r="AG309" s="381"/>
      <c r="AH309" s="381"/>
      <c r="AI309" s="381"/>
      <c r="AJ309" s="381"/>
      <c r="AK309" s="381"/>
      <c r="AL309" s="381"/>
      <c r="AM309" s="381"/>
      <c r="AN309" s="381"/>
      <c r="AO309" s="381"/>
      <c r="AP309" s="381"/>
      <c r="AQ309" s="381"/>
      <c r="AR309" s="381"/>
      <c r="AS309" s="381"/>
      <c r="AT309" s="381"/>
      <c r="AU309" s="381">
        <f t="shared" si="20"/>
        <v>20000000</v>
      </c>
      <c r="AV309" s="381">
        <f t="shared" si="17"/>
        <v>20000000</v>
      </c>
      <c r="AW309" s="381">
        <f t="shared" si="18"/>
        <v>20000000</v>
      </c>
      <c r="AX309" s="473" t="s">
        <v>795</v>
      </c>
    </row>
    <row r="310" spans="1:129" s="459" customFormat="1" ht="153" x14ac:dyDescent="0.25">
      <c r="A310" s="292">
        <v>318</v>
      </c>
      <c r="B310" s="454" t="s">
        <v>791</v>
      </c>
      <c r="C310" s="292">
        <v>1</v>
      </c>
      <c r="D310" s="454" t="s">
        <v>105</v>
      </c>
      <c r="E310" s="292">
        <v>1</v>
      </c>
      <c r="F310" s="454" t="s">
        <v>112</v>
      </c>
      <c r="G310" s="292">
        <v>19</v>
      </c>
      <c r="H310" s="454" t="s">
        <v>195</v>
      </c>
      <c r="I310" s="292">
        <v>1903</v>
      </c>
      <c r="J310" s="454" t="s">
        <v>196</v>
      </c>
      <c r="K310" s="292">
        <v>1903038</v>
      </c>
      <c r="L310" s="454" t="s">
        <v>803</v>
      </c>
      <c r="M310" s="292" t="s">
        <v>1252</v>
      </c>
      <c r="N310" s="453" t="s">
        <v>804</v>
      </c>
      <c r="O310" s="299" t="s">
        <v>26</v>
      </c>
      <c r="P310" s="292">
        <v>1</v>
      </c>
      <c r="Q310" s="292">
        <v>1</v>
      </c>
      <c r="R310" s="337">
        <v>2020003630116</v>
      </c>
      <c r="S310" s="454" t="s">
        <v>794</v>
      </c>
      <c r="T310" s="457"/>
      <c r="U310" s="457"/>
      <c r="V310" s="457"/>
      <c r="W310" s="457"/>
      <c r="X310" s="457"/>
      <c r="Y310" s="457"/>
      <c r="Z310" s="457"/>
      <c r="AA310" s="457"/>
      <c r="AB310" s="457"/>
      <c r="AC310" s="457"/>
      <c r="AD310" s="457"/>
      <c r="AE310" s="457"/>
      <c r="AF310" s="457"/>
      <c r="AG310" s="457"/>
      <c r="AH310" s="457"/>
      <c r="AI310" s="457"/>
      <c r="AJ310" s="457"/>
      <c r="AK310" s="457"/>
      <c r="AL310" s="457"/>
      <c r="AM310" s="457"/>
      <c r="AN310" s="457"/>
      <c r="AO310" s="457">
        <f>301000000+747899508.2-717249752.2</f>
        <v>331649756</v>
      </c>
      <c r="AP310" s="457">
        <v>227779517</v>
      </c>
      <c r="AQ310" s="457">
        <v>225413717</v>
      </c>
      <c r="AR310" s="457"/>
      <c r="AS310" s="457"/>
      <c r="AT310" s="457"/>
      <c r="AU310" s="457">
        <f t="shared" si="20"/>
        <v>331649756</v>
      </c>
      <c r="AV310" s="457">
        <f t="shared" si="17"/>
        <v>227779517</v>
      </c>
      <c r="AW310" s="457">
        <f t="shared" si="18"/>
        <v>225413717</v>
      </c>
      <c r="AX310" s="475" t="s">
        <v>795</v>
      </c>
    </row>
    <row r="311" spans="1:129" s="332" customFormat="1" ht="38.25" x14ac:dyDescent="0.25">
      <c r="A311" s="259">
        <v>318</v>
      </c>
      <c r="B311" s="325" t="s">
        <v>791</v>
      </c>
      <c r="C311" s="259"/>
      <c r="D311" s="325"/>
      <c r="E311" s="259">
        <v>1</v>
      </c>
      <c r="F311" s="325" t="s">
        <v>112</v>
      </c>
      <c r="G311" s="259">
        <v>19</v>
      </c>
      <c r="H311" s="385" t="s">
        <v>195</v>
      </c>
      <c r="I311" s="259">
        <v>1903</v>
      </c>
      <c r="J311" s="325" t="s">
        <v>196</v>
      </c>
      <c r="K311" s="259">
        <v>1903009</v>
      </c>
      <c r="L311" s="325" t="s">
        <v>792</v>
      </c>
      <c r="M311" s="272">
        <v>190300900</v>
      </c>
      <c r="N311" s="333" t="s">
        <v>793</v>
      </c>
      <c r="O311" s="272" t="s">
        <v>67</v>
      </c>
      <c r="P311" s="272">
        <v>100</v>
      </c>
      <c r="Q311" s="272">
        <v>100</v>
      </c>
      <c r="R311" s="281">
        <v>2024003630121</v>
      </c>
      <c r="S311" s="325" t="s">
        <v>807</v>
      </c>
      <c r="T311" s="328"/>
      <c r="U311" s="328"/>
      <c r="V311" s="328"/>
      <c r="W311" s="328"/>
      <c r="X311" s="328"/>
      <c r="Y311" s="328"/>
      <c r="Z311" s="404">
        <v>24000000</v>
      </c>
      <c r="AA311" s="404">
        <v>21333333</v>
      </c>
      <c r="AB311" s="404">
        <v>10100000</v>
      </c>
      <c r="AC311" s="328"/>
      <c r="AD311" s="328"/>
      <c r="AE311" s="328"/>
      <c r="AF311" s="328"/>
      <c r="AG311" s="328"/>
      <c r="AH311" s="328"/>
      <c r="AI311" s="328"/>
      <c r="AJ311" s="328"/>
      <c r="AK311" s="328"/>
      <c r="AL311" s="343"/>
      <c r="AM311" s="343"/>
      <c r="AN311" s="343"/>
      <c r="AO311" s="343"/>
      <c r="AP311" s="343"/>
      <c r="AQ311" s="343"/>
      <c r="AR311" s="343"/>
      <c r="AS311" s="343"/>
      <c r="AT311" s="343"/>
      <c r="AU311" s="328">
        <f t="shared" si="20"/>
        <v>24000000</v>
      </c>
      <c r="AV311" s="328">
        <f t="shared" si="17"/>
        <v>21333333</v>
      </c>
      <c r="AW311" s="328">
        <f t="shared" si="18"/>
        <v>10100000</v>
      </c>
      <c r="AX311" s="330" t="s">
        <v>795</v>
      </c>
      <c r="AY311" s="331"/>
      <c r="AZ311" s="331"/>
      <c r="BA311" s="331"/>
      <c r="BB311" s="331"/>
      <c r="BC311" s="331"/>
      <c r="BD311" s="331"/>
      <c r="BE311" s="331"/>
      <c r="BF311" s="331"/>
      <c r="BG311" s="331"/>
      <c r="BH311" s="331"/>
      <c r="BI311" s="331"/>
      <c r="BJ311" s="331"/>
      <c r="BK311" s="331"/>
      <c r="BL311" s="331"/>
      <c r="BM311" s="331"/>
      <c r="BN311" s="331"/>
      <c r="BO311" s="331"/>
      <c r="BP311" s="331"/>
      <c r="BQ311" s="331"/>
      <c r="BR311" s="331"/>
      <c r="BS311" s="331"/>
      <c r="BT311" s="331"/>
      <c r="BU311" s="331"/>
      <c r="BV311" s="331"/>
      <c r="BW311" s="331"/>
      <c r="BX311" s="331"/>
      <c r="BY311" s="331"/>
      <c r="BZ311" s="331"/>
      <c r="CA311" s="331"/>
      <c r="CB311" s="331"/>
      <c r="CC311" s="331"/>
      <c r="CD311" s="331"/>
      <c r="CE311" s="331"/>
      <c r="CF311" s="331"/>
      <c r="CG311" s="331"/>
      <c r="CH311" s="331"/>
      <c r="CI311" s="331"/>
      <c r="CJ311" s="331"/>
      <c r="CK311" s="331"/>
      <c r="CL311" s="331"/>
      <c r="CM311" s="331"/>
      <c r="CN311" s="331"/>
      <c r="CO311" s="331"/>
      <c r="CP311" s="331"/>
      <c r="CQ311" s="331"/>
      <c r="CR311" s="331"/>
      <c r="CS311" s="331"/>
      <c r="CT311" s="331"/>
      <c r="CU311" s="331"/>
      <c r="CV311" s="331"/>
      <c r="CW311" s="331"/>
      <c r="CX311" s="331"/>
      <c r="CY311" s="331"/>
      <c r="CZ311" s="331"/>
      <c r="DA311" s="331"/>
      <c r="DB311" s="331"/>
      <c r="DC311" s="331"/>
      <c r="DD311" s="331"/>
      <c r="DE311" s="331"/>
      <c r="DF311" s="331"/>
      <c r="DG311" s="331"/>
      <c r="DH311" s="331"/>
      <c r="DI311" s="331"/>
      <c r="DJ311" s="331"/>
      <c r="DK311" s="331"/>
      <c r="DL311" s="331"/>
      <c r="DM311" s="331"/>
      <c r="DN311" s="331"/>
      <c r="DO311" s="331"/>
      <c r="DP311" s="331"/>
      <c r="DQ311" s="331"/>
      <c r="DR311" s="331"/>
      <c r="DS311" s="331"/>
      <c r="DT311" s="331"/>
      <c r="DU311" s="331"/>
      <c r="DV311" s="331"/>
      <c r="DW311" s="331"/>
      <c r="DX311" s="331"/>
      <c r="DY311" s="331"/>
    </row>
    <row r="312" spans="1:129" s="332" customFormat="1" ht="63.75" x14ac:dyDescent="0.25">
      <c r="A312" s="259">
        <v>318</v>
      </c>
      <c r="B312" s="325" t="s">
        <v>791</v>
      </c>
      <c r="C312" s="259"/>
      <c r="D312" s="325"/>
      <c r="E312" s="259">
        <v>1</v>
      </c>
      <c r="F312" s="325" t="s">
        <v>112</v>
      </c>
      <c r="G312" s="259">
        <v>19</v>
      </c>
      <c r="H312" s="385" t="s">
        <v>195</v>
      </c>
      <c r="I312" s="259">
        <v>1903</v>
      </c>
      <c r="J312" s="325" t="s">
        <v>196</v>
      </c>
      <c r="K312" s="259">
        <v>1903001</v>
      </c>
      <c r="L312" s="325" t="s">
        <v>65</v>
      </c>
      <c r="M312" s="272">
        <v>190300101</v>
      </c>
      <c r="N312" s="333" t="s">
        <v>808</v>
      </c>
      <c r="O312" s="272" t="s">
        <v>67</v>
      </c>
      <c r="P312" s="272">
        <v>1</v>
      </c>
      <c r="Q312" s="272">
        <v>0.3</v>
      </c>
      <c r="R312" s="281">
        <v>2024003630121</v>
      </c>
      <c r="S312" s="325" t="s">
        <v>807</v>
      </c>
      <c r="T312" s="328"/>
      <c r="U312" s="328"/>
      <c r="V312" s="328"/>
      <c r="W312" s="328"/>
      <c r="X312" s="328"/>
      <c r="Y312" s="328"/>
      <c r="Z312" s="404">
        <v>36000000</v>
      </c>
      <c r="AA312" s="404">
        <v>24666666</v>
      </c>
      <c r="AB312" s="404">
        <v>14800000</v>
      </c>
      <c r="AC312" s="328"/>
      <c r="AD312" s="328"/>
      <c r="AE312" s="328"/>
      <c r="AF312" s="328"/>
      <c r="AG312" s="328"/>
      <c r="AH312" s="328"/>
      <c r="AI312" s="328"/>
      <c r="AJ312" s="328"/>
      <c r="AK312" s="328"/>
      <c r="AL312" s="343"/>
      <c r="AM312" s="343"/>
      <c r="AN312" s="343"/>
      <c r="AO312" s="343"/>
      <c r="AP312" s="343"/>
      <c r="AQ312" s="343"/>
      <c r="AR312" s="343"/>
      <c r="AS312" s="343"/>
      <c r="AT312" s="343"/>
      <c r="AU312" s="328">
        <f t="shared" si="20"/>
        <v>36000000</v>
      </c>
      <c r="AV312" s="328">
        <f t="shared" si="17"/>
        <v>24666666</v>
      </c>
      <c r="AW312" s="328">
        <f t="shared" si="18"/>
        <v>14800000</v>
      </c>
      <c r="AX312" s="330" t="s">
        <v>795</v>
      </c>
      <c r="AY312" s="331"/>
      <c r="AZ312" s="331"/>
      <c r="BA312" s="331"/>
      <c r="BB312" s="331"/>
      <c r="BC312" s="331"/>
      <c r="BD312" s="331"/>
      <c r="BE312" s="331"/>
      <c r="BF312" s="331"/>
      <c r="BG312" s="331"/>
      <c r="BH312" s="331"/>
      <c r="BI312" s="331"/>
      <c r="BJ312" s="331"/>
      <c r="BK312" s="331"/>
      <c r="BL312" s="331"/>
      <c r="BM312" s="331"/>
      <c r="BN312" s="331"/>
      <c r="BO312" s="331"/>
      <c r="BP312" s="331"/>
      <c r="BQ312" s="331"/>
      <c r="BR312" s="331"/>
      <c r="BS312" s="331"/>
      <c r="BT312" s="331"/>
      <c r="BU312" s="331"/>
      <c r="BV312" s="331"/>
      <c r="BW312" s="331"/>
      <c r="BX312" s="331"/>
      <c r="BY312" s="331"/>
      <c r="BZ312" s="331"/>
      <c r="CA312" s="331"/>
      <c r="CB312" s="331"/>
      <c r="CC312" s="331"/>
      <c r="CD312" s="331"/>
      <c r="CE312" s="331"/>
      <c r="CF312" s="331"/>
      <c r="CG312" s="331"/>
      <c r="CH312" s="331"/>
      <c r="CI312" s="331"/>
      <c r="CJ312" s="331"/>
      <c r="CK312" s="331"/>
      <c r="CL312" s="331"/>
      <c r="CM312" s="331"/>
      <c r="CN312" s="331"/>
      <c r="CO312" s="331"/>
      <c r="CP312" s="331"/>
      <c r="CQ312" s="331"/>
      <c r="CR312" s="331"/>
      <c r="CS312" s="331"/>
      <c r="CT312" s="331"/>
      <c r="CU312" s="331"/>
      <c r="CV312" s="331"/>
      <c r="CW312" s="331"/>
      <c r="CX312" s="331"/>
      <c r="CY312" s="331"/>
      <c r="CZ312" s="331"/>
      <c r="DA312" s="331"/>
      <c r="DB312" s="331"/>
      <c r="DC312" s="331"/>
      <c r="DD312" s="331"/>
      <c r="DE312" s="331"/>
      <c r="DF312" s="331"/>
      <c r="DG312" s="331"/>
      <c r="DH312" s="331"/>
      <c r="DI312" s="331"/>
      <c r="DJ312" s="331"/>
      <c r="DK312" s="331"/>
      <c r="DL312" s="331"/>
      <c r="DM312" s="331"/>
      <c r="DN312" s="331"/>
      <c r="DO312" s="331"/>
      <c r="DP312" s="331"/>
      <c r="DQ312" s="331"/>
      <c r="DR312" s="331"/>
      <c r="DS312" s="331"/>
      <c r="DT312" s="331"/>
      <c r="DU312" s="331"/>
      <c r="DV312" s="331"/>
      <c r="DW312" s="331"/>
      <c r="DX312" s="331"/>
      <c r="DY312" s="331"/>
    </row>
    <row r="313" spans="1:129" s="332" customFormat="1" ht="51" x14ac:dyDescent="0.25">
      <c r="A313" s="259">
        <v>318</v>
      </c>
      <c r="B313" s="325" t="s">
        <v>791</v>
      </c>
      <c r="C313" s="259"/>
      <c r="D313" s="325"/>
      <c r="E313" s="259">
        <v>1</v>
      </c>
      <c r="F313" s="325" t="s">
        <v>112</v>
      </c>
      <c r="G313" s="259">
        <v>19</v>
      </c>
      <c r="H313" s="385" t="s">
        <v>195</v>
      </c>
      <c r="I313" s="259">
        <v>1903</v>
      </c>
      <c r="J313" s="325" t="s">
        <v>196</v>
      </c>
      <c r="K313" s="259">
        <v>1903023</v>
      </c>
      <c r="L313" s="325" t="s">
        <v>801</v>
      </c>
      <c r="M313" s="272">
        <v>190302300</v>
      </c>
      <c r="N313" s="333" t="s">
        <v>809</v>
      </c>
      <c r="O313" s="272" t="s">
        <v>67</v>
      </c>
      <c r="P313" s="272">
        <v>200</v>
      </c>
      <c r="Q313" s="272">
        <v>46</v>
      </c>
      <c r="R313" s="281">
        <v>2024003630121</v>
      </c>
      <c r="S313" s="325" t="s">
        <v>807</v>
      </c>
      <c r="T313" s="328"/>
      <c r="U313" s="328"/>
      <c r="V313" s="328"/>
      <c r="W313" s="328"/>
      <c r="X313" s="328"/>
      <c r="Y313" s="328"/>
      <c r="Z313" s="328">
        <v>73200000</v>
      </c>
      <c r="AA313" s="328">
        <v>28200000</v>
      </c>
      <c r="AB313" s="328">
        <v>15100000</v>
      </c>
      <c r="AC313" s="328"/>
      <c r="AD313" s="328"/>
      <c r="AE313" s="328"/>
      <c r="AF313" s="328"/>
      <c r="AG313" s="328"/>
      <c r="AH313" s="328"/>
      <c r="AI313" s="328"/>
      <c r="AJ313" s="328"/>
      <c r="AK313" s="328"/>
      <c r="AL313" s="343"/>
      <c r="AM313" s="343"/>
      <c r="AN313" s="343"/>
      <c r="AO313" s="343"/>
      <c r="AP313" s="343"/>
      <c r="AQ313" s="343"/>
      <c r="AR313" s="343"/>
      <c r="AS313" s="343"/>
      <c r="AT313" s="343"/>
      <c r="AU313" s="328">
        <f t="shared" si="20"/>
        <v>73200000</v>
      </c>
      <c r="AV313" s="328">
        <f t="shared" si="17"/>
        <v>28200000</v>
      </c>
      <c r="AW313" s="328">
        <f t="shared" si="18"/>
        <v>15100000</v>
      </c>
      <c r="AX313" s="330" t="s">
        <v>795</v>
      </c>
      <c r="AY313" s="331"/>
      <c r="AZ313" s="331"/>
      <c r="BA313" s="331"/>
      <c r="BB313" s="331"/>
      <c r="BC313" s="331"/>
      <c r="BD313" s="331"/>
      <c r="BE313" s="331"/>
      <c r="BF313" s="331"/>
      <c r="BG313" s="331"/>
      <c r="BH313" s="331"/>
      <c r="BI313" s="331"/>
      <c r="BJ313" s="331"/>
      <c r="BK313" s="331"/>
      <c r="BL313" s="331"/>
      <c r="BM313" s="331"/>
      <c r="BN313" s="331"/>
      <c r="BO313" s="331"/>
      <c r="BP313" s="331"/>
      <c r="BQ313" s="331"/>
      <c r="BR313" s="331"/>
      <c r="BS313" s="331"/>
      <c r="BT313" s="331"/>
      <c r="BU313" s="331"/>
      <c r="BV313" s="331"/>
      <c r="BW313" s="331"/>
      <c r="BX313" s="331"/>
      <c r="BY313" s="331"/>
      <c r="BZ313" s="331"/>
      <c r="CA313" s="331"/>
      <c r="CB313" s="331"/>
      <c r="CC313" s="331"/>
      <c r="CD313" s="331"/>
      <c r="CE313" s="331"/>
      <c r="CF313" s="331"/>
      <c r="CG313" s="331"/>
      <c r="CH313" s="331"/>
      <c r="CI313" s="331"/>
      <c r="CJ313" s="331"/>
      <c r="CK313" s="331"/>
      <c r="CL313" s="331"/>
      <c r="CM313" s="331"/>
      <c r="CN313" s="331"/>
      <c r="CO313" s="331"/>
      <c r="CP313" s="331"/>
      <c r="CQ313" s="331"/>
      <c r="CR313" s="331"/>
      <c r="CS313" s="331"/>
      <c r="CT313" s="331"/>
      <c r="CU313" s="331"/>
      <c r="CV313" s="331"/>
      <c r="CW313" s="331"/>
      <c r="CX313" s="331"/>
      <c r="CY313" s="331"/>
      <c r="CZ313" s="331"/>
      <c r="DA313" s="331"/>
      <c r="DB313" s="331"/>
      <c r="DC313" s="331"/>
      <c r="DD313" s="331"/>
      <c r="DE313" s="331"/>
      <c r="DF313" s="331"/>
      <c r="DG313" s="331"/>
      <c r="DH313" s="331"/>
      <c r="DI313" s="331"/>
      <c r="DJ313" s="331"/>
      <c r="DK313" s="331"/>
      <c r="DL313" s="331"/>
      <c r="DM313" s="331"/>
      <c r="DN313" s="331"/>
      <c r="DO313" s="331"/>
      <c r="DP313" s="331"/>
      <c r="DQ313" s="331"/>
      <c r="DR313" s="331"/>
      <c r="DS313" s="331"/>
      <c r="DT313" s="331"/>
      <c r="DU313" s="331"/>
      <c r="DV313" s="331"/>
      <c r="DW313" s="331"/>
      <c r="DX313" s="331"/>
      <c r="DY313" s="331"/>
    </row>
    <row r="314" spans="1:129" s="332" customFormat="1" ht="89.25" x14ac:dyDescent="0.25">
      <c r="A314" s="259">
        <v>318</v>
      </c>
      <c r="B314" s="325" t="s">
        <v>791</v>
      </c>
      <c r="C314" s="259"/>
      <c r="D314" s="325"/>
      <c r="E314" s="259">
        <v>1</v>
      </c>
      <c r="F314" s="325" t="s">
        <v>112</v>
      </c>
      <c r="G314" s="259">
        <v>19</v>
      </c>
      <c r="H314" s="385" t="s">
        <v>195</v>
      </c>
      <c r="I314" s="259">
        <v>1903</v>
      </c>
      <c r="J314" s="325" t="s">
        <v>196</v>
      </c>
      <c r="K314" s="259">
        <v>1903027</v>
      </c>
      <c r="L314" s="325" t="s">
        <v>805</v>
      </c>
      <c r="M314" s="272">
        <v>190302700</v>
      </c>
      <c r="N314" s="333" t="s">
        <v>806</v>
      </c>
      <c r="O314" s="272" t="s">
        <v>26</v>
      </c>
      <c r="P314" s="272">
        <v>3</v>
      </c>
      <c r="Q314" s="272">
        <v>3</v>
      </c>
      <c r="R314" s="281">
        <v>2024003630121</v>
      </c>
      <c r="S314" s="325" t="s">
        <v>810</v>
      </c>
      <c r="T314" s="328"/>
      <c r="U314" s="328"/>
      <c r="V314" s="328"/>
      <c r="W314" s="328"/>
      <c r="X314" s="328"/>
      <c r="Y314" s="328"/>
      <c r="Z314" s="328">
        <v>23000000</v>
      </c>
      <c r="AA314" s="328">
        <v>12333333</v>
      </c>
      <c r="AB314" s="328">
        <v>7400000</v>
      </c>
      <c r="AC314" s="328"/>
      <c r="AD314" s="328"/>
      <c r="AE314" s="328"/>
      <c r="AF314" s="328"/>
      <c r="AG314" s="328"/>
      <c r="AH314" s="328"/>
      <c r="AI314" s="328"/>
      <c r="AJ314" s="328"/>
      <c r="AK314" s="328"/>
      <c r="AL314" s="328"/>
      <c r="AM314" s="328"/>
      <c r="AN314" s="328"/>
      <c r="AO314" s="328"/>
      <c r="AP314" s="328"/>
      <c r="AQ314" s="328"/>
      <c r="AR314" s="328"/>
      <c r="AS314" s="328"/>
      <c r="AT314" s="328"/>
      <c r="AU314" s="328">
        <f t="shared" si="20"/>
        <v>23000000</v>
      </c>
      <c r="AV314" s="328">
        <f t="shared" si="17"/>
        <v>12333333</v>
      </c>
      <c r="AW314" s="328">
        <f t="shared" si="18"/>
        <v>7400000</v>
      </c>
      <c r="AX314" s="330" t="s">
        <v>795</v>
      </c>
      <c r="AY314" s="331"/>
      <c r="AZ314" s="331"/>
      <c r="BA314" s="331"/>
      <c r="BB314" s="331"/>
      <c r="BC314" s="331"/>
      <c r="BD314" s="331"/>
      <c r="BE314" s="331"/>
      <c r="BF314" s="331"/>
      <c r="BG314" s="331"/>
      <c r="BH314" s="331"/>
      <c r="BI314" s="331"/>
      <c r="BJ314" s="331"/>
      <c r="BK314" s="331"/>
      <c r="BL314" s="331"/>
      <c r="BM314" s="331"/>
      <c r="BN314" s="331"/>
      <c r="BO314" s="331"/>
      <c r="BP314" s="331"/>
      <c r="BQ314" s="331"/>
      <c r="BR314" s="331"/>
      <c r="BS314" s="331"/>
      <c r="BT314" s="331"/>
      <c r="BU314" s="331"/>
      <c r="BV314" s="331"/>
      <c r="BW314" s="331"/>
      <c r="BX314" s="331"/>
      <c r="BY314" s="331"/>
      <c r="BZ314" s="331"/>
      <c r="CA314" s="331"/>
      <c r="CB314" s="331"/>
      <c r="CC314" s="331"/>
      <c r="CD314" s="331"/>
      <c r="CE314" s="331"/>
      <c r="CF314" s="331"/>
      <c r="CG314" s="331"/>
      <c r="CH314" s="331"/>
      <c r="CI314" s="331"/>
      <c r="CJ314" s="331"/>
      <c r="CK314" s="331"/>
      <c r="CL314" s="331"/>
      <c r="CM314" s="331"/>
      <c r="CN314" s="331"/>
      <c r="CO314" s="331"/>
      <c r="CP314" s="331"/>
      <c r="CQ314" s="331"/>
      <c r="CR314" s="331"/>
      <c r="CS314" s="331"/>
      <c r="CT314" s="331"/>
      <c r="CU314" s="331"/>
      <c r="CV314" s="331"/>
      <c r="CW314" s="331"/>
      <c r="CX314" s="331"/>
      <c r="CY314" s="331"/>
      <c r="CZ314" s="331"/>
      <c r="DA314" s="331"/>
      <c r="DB314" s="331"/>
      <c r="DC314" s="331"/>
      <c r="DD314" s="331"/>
      <c r="DE314" s="331"/>
      <c r="DF314" s="331"/>
      <c r="DG314" s="331"/>
      <c r="DH314" s="331"/>
      <c r="DI314" s="331"/>
      <c r="DJ314" s="331"/>
      <c r="DK314" s="331"/>
      <c r="DL314" s="331"/>
      <c r="DM314" s="331"/>
      <c r="DN314" s="331"/>
      <c r="DO314" s="331"/>
      <c r="DP314" s="331"/>
      <c r="DQ314" s="331"/>
      <c r="DR314" s="331"/>
      <c r="DS314" s="331"/>
      <c r="DT314" s="331"/>
      <c r="DU314" s="331"/>
      <c r="DV314" s="331"/>
      <c r="DW314" s="331"/>
      <c r="DX314" s="331"/>
      <c r="DY314" s="331"/>
    </row>
    <row r="315" spans="1:129" s="332" customFormat="1" ht="165.75" x14ac:dyDescent="0.25">
      <c r="A315" s="259">
        <v>318</v>
      </c>
      <c r="B315" s="325" t="s">
        <v>791</v>
      </c>
      <c r="C315" s="259"/>
      <c r="D315" s="325"/>
      <c r="E315" s="259">
        <v>1</v>
      </c>
      <c r="F315" s="325" t="s">
        <v>112</v>
      </c>
      <c r="G315" s="259">
        <v>19</v>
      </c>
      <c r="H315" s="385" t="s">
        <v>195</v>
      </c>
      <c r="I315" s="259">
        <v>1903</v>
      </c>
      <c r="J315" s="325" t="s">
        <v>196</v>
      </c>
      <c r="K315" s="259">
        <v>1903040</v>
      </c>
      <c r="L315" s="325" t="s">
        <v>811</v>
      </c>
      <c r="M315" s="272">
        <v>190304001</v>
      </c>
      <c r="N315" s="333" t="s">
        <v>812</v>
      </c>
      <c r="O315" s="272" t="s">
        <v>26</v>
      </c>
      <c r="P315" s="280">
        <v>12</v>
      </c>
      <c r="Q315" s="280">
        <v>2</v>
      </c>
      <c r="R315" s="281">
        <v>2024003630121</v>
      </c>
      <c r="S315" s="325" t="s">
        <v>807</v>
      </c>
      <c r="T315" s="328"/>
      <c r="U315" s="328"/>
      <c r="V315" s="328"/>
      <c r="W315" s="328"/>
      <c r="X315" s="328"/>
      <c r="Y315" s="328"/>
      <c r="Z315" s="328">
        <v>24000000</v>
      </c>
      <c r="AA315" s="328">
        <v>4933333</v>
      </c>
      <c r="AB315" s="328">
        <v>0</v>
      </c>
      <c r="AC315" s="328"/>
      <c r="AD315" s="328"/>
      <c r="AE315" s="328"/>
      <c r="AF315" s="328"/>
      <c r="AG315" s="328"/>
      <c r="AH315" s="328"/>
      <c r="AI315" s="328"/>
      <c r="AJ315" s="328"/>
      <c r="AK315" s="328"/>
      <c r="AL315" s="328"/>
      <c r="AM315" s="328"/>
      <c r="AN315" s="328"/>
      <c r="AO315" s="328"/>
      <c r="AP315" s="328"/>
      <c r="AQ315" s="328"/>
      <c r="AR315" s="328"/>
      <c r="AS315" s="328"/>
      <c r="AT315" s="328"/>
      <c r="AU315" s="328">
        <f t="shared" si="20"/>
        <v>24000000</v>
      </c>
      <c r="AV315" s="328">
        <f t="shared" si="17"/>
        <v>4933333</v>
      </c>
      <c r="AW315" s="328">
        <f t="shared" si="18"/>
        <v>0</v>
      </c>
      <c r="AX315" s="330" t="s">
        <v>795</v>
      </c>
      <c r="AY315" s="331"/>
      <c r="AZ315" s="331"/>
      <c r="BA315" s="331"/>
      <c r="BB315" s="331"/>
      <c r="BC315" s="331"/>
      <c r="BD315" s="331"/>
      <c r="BE315" s="331"/>
      <c r="BF315" s="331"/>
      <c r="BG315" s="331"/>
      <c r="BH315" s="331"/>
      <c r="BI315" s="331"/>
      <c r="BJ315" s="331"/>
      <c r="BK315" s="331"/>
      <c r="BL315" s="331"/>
      <c r="BM315" s="331"/>
      <c r="BN315" s="331"/>
      <c r="BO315" s="331"/>
      <c r="BP315" s="331"/>
      <c r="BQ315" s="331"/>
      <c r="BR315" s="331"/>
      <c r="BS315" s="331"/>
      <c r="BT315" s="331"/>
      <c r="BU315" s="331"/>
      <c r="BV315" s="331"/>
      <c r="BW315" s="331"/>
      <c r="BX315" s="331"/>
      <c r="BY315" s="331"/>
      <c r="BZ315" s="331"/>
      <c r="CA315" s="331"/>
      <c r="CB315" s="331"/>
      <c r="CC315" s="331"/>
      <c r="CD315" s="331"/>
      <c r="CE315" s="331"/>
      <c r="CF315" s="331"/>
      <c r="CG315" s="331"/>
      <c r="CH315" s="331"/>
      <c r="CI315" s="331"/>
      <c r="CJ315" s="331"/>
      <c r="CK315" s="331"/>
      <c r="CL315" s="331"/>
      <c r="CM315" s="331"/>
      <c r="CN315" s="331"/>
      <c r="CO315" s="331"/>
      <c r="CP315" s="331"/>
      <c r="CQ315" s="331"/>
      <c r="CR315" s="331"/>
      <c r="CS315" s="331"/>
      <c r="CT315" s="331"/>
      <c r="CU315" s="331"/>
      <c r="CV315" s="331"/>
      <c r="CW315" s="331"/>
      <c r="CX315" s="331"/>
      <c r="CY315" s="331"/>
      <c r="CZ315" s="331"/>
      <c r="DA315" s="331"/>
      <c r="DB315" s="331"/>
      <c r="DC315" s="331"/>
      <c r="DD315" s="331"/>
      <c r="DE315" s="331"/>
      <c r="DF315" s="331"/>
      <c r="DG315" s="331"/>
      <c r="DH315" s="331"/>
      <c r="DI315" s="331"/>
      <c r="DJ315" s="331"/>
      <c r="DK315" s="331"/>
      <c r="DL315" s="331"/>
      <c r="DM315" s="331"/>
      <c r="DN315" s="331"/>
      <c r="DO315" s="331"/>
      <c r="DP315" s="331"/>
      <c r="DQ315" s="331"/>
      <c r="DR315" s="331"/>
      <c r="DS315" s="331"/>
      <c r="DT315" s="331"/>
      <c r="DU315" s="331"/>
      <c r="DV315" s="331"/>
      <c r="DW315" s="331"/>
      <c r="DX315" s="331"/>
      <c r="DY315" s="331"/>
    </row>
    <row r="316" spans="1:129" s="332" customFormat="1" ht="51" x14ac:dyDescent="0.25">
      <c r="A316" s="259">
        <v>318</v>
      </c>
      <c r="B316" s="325" t="s">
        <v>791</v>
      </c>
      <c r="C316" s="259"/>
      <c r="D316" s="325"/>
      <c r="E316" s="259">
        <v>1</v>
      </c>
      <c r="F316" s="325" t="s">
        <v>112</v>
      </c>
      <c r="G316" s="259">
        <v>19</v>
      </c>
      <c r="H316" s="385" t="s">
        <v>195</v>
      </c>
      <c r="I316" s="259">
        <v>1903</v>
      </c>
      <c r="J316" s="325" t="s">
        <v>196</v>
      </c>
      <c r="K316" s="259">
        <v>1903045</v>
      </c>
      <c r="L316" s="325" t="s">
        <v>813</v>
      </c>
      <c r="M316" s="272">
        <v>190304500</v>
      </c>
      <c r="N316" s="272" t="s">
        <v>814</v>
      </c>
      <c r="O316" s="272" t="s">
        <v>67</v>
      </c>
      <c r="P316" s="280">
        <v>1</v>
      </c>
      <c r="Q316" s="280">
        <v>1</v>
      </c>
      <c r="R316" s="281">
        <v>2024003630121</v>
      </c>
      <c r="S316" s="325" t="s">
        <v>810</v>
      </c>
      <c r="T316" s="328"/>
      <c r="U316" s="328"/>
      <c r="V316" s="328"/>
      <c r="W316" s="328"/>
      <c r="X316" s="328"/>
      <c r="Y316" s="328"/>
      <c r="Z316" s="328"/>
      <c r="AA316" s="328"/>
      <c r="AB316" s="328"/>
      <c r="AC316" s="328"/>
      <c r="AD316" s="328"/>
      <c r="AE316" s="328"/>
      <c r="AF316" s="328"/>
      <c r="AG316" s="328"/>
      <c r="AH316" s="328"/>
      <c r="AI316" s="328"/>
      <c r="AJ316" s="328"/>
      <c r="AK316" s="328"/>
      <c r="AL316" s="328">
        <v>55800000</v>
      </c>
      <c r="AM316" s="328">
        <v>12333333</v>
      </c>
      <c r="AN316" s="328">
        <v>7400000</v>
      </c>
      <c r="AO316" s="328"/>
      <c r="AP316" s="328"/>
      <c r="AQ316" s="328"/>
      <c r="AR316" s="328"/>
      <c r="AS316" s="328"/>
      <c r="AT316" s="328"/>
      <c r="AU316" s="328">
        <f t="shared" si="20"/>
        <v>55800000</v>
      </c>
      <c r="AV316" s="328">
        <f t="shared" si="17"/>
        <v>12333333</v>
      </c>
      <c r="AW316" s="328">
        <f t="shared" si="18"/>
        <v>7400000</v>
      </c>
      <c r="AX316" s="330" t="s">
        <v>795</v>
      </c>
      <c r="AY316" s="331"/>
      <c r="AZ316" s="331"/>
      <c r="BA316" s="331"/>
      <c r="BB316" s="331"/>
      <c r="BC316" s="331"/>
      <c r="BD316" s="331"/>
      <c r="BE316" s="331"/>
      <c r="BF316" s="331"/>
      <c r="BG316" s="331"/>
      <c r="BH316" s="331"/>
      <c r="BI316" s="331"/>
      <c r="BJ316" s="331"/>
      <c r="BK316" s="331"/>
      <c r="BL316" s="331"/>
      <c r="BM316" s="331"/>
      <c r="BN316" s="331"/>
      <c r="BO316" s="331"/>
      <c r="BP316" s="331"/>
      <c r="BQ316" s="331"/>
      <c r="BR316" s="331"/>
      <c r="BS316" s="331"/>
      <c r="BT316" s="331"/>
      <c r="BU316" s="331"/>
      <c r="BV316" s="331"/>
      <c r="BW316" s="331"/>
      <c r="BX316" s="331"/>
      <c r="BY316" s="331"/>
      <c r="BZ316" s="331"/>
      <c r="CA316" s="331"/>
      <c r="CB316" s="331"/>
      <c r="CC316" s="331"/>
      <c r="CD316" s="331"/>
      <c r="CE316" s="331"/>
      <c r="CF316" s="331"/>
      <c r="CG316" s="331"/>
      <c r="CH316" s="331"/>
      <c r="CI316" s="331"/>
      <c r="CJ316" s="331"/>
      <c r="CK316" s="331"/>
      <c r="CL316" s="331"/>
      <c r="CM316" s="331"/>
      <c r="CN316" s="331"/>
      <c r="CO316" s="331"/>
      <c r="CP316" s="331"/>
      <c r="CQ316" s="331"/>
      <c r="CR316" s="331"/>
      <c r="CS316" s="331"/>
      <c r="CT316" s="331"/>
      <c r="CU316" s="331"/>
      <c r="CV316" s="331"/>
      <c r="CW316" s="331"/>
      <c r="CX316" s="331"/>
      <c r="CY316" s="331"/>
      <c r="CZ316" s="331"/>
      <c r="DA316" s="331"/>
      <c r="DB316" s="331"/>
      <c r="DC316" s="331"/>
      <c r="DD316" s="331"/>
      <c r="DE316" s="331"/>
      <c r="DF316" s="331"/>
      <c r="DG316" s="331"/>
      <c r="DH316" s="331"/>
      <c r="DI316" s="331"/>
      <c r="DJ316" s="331"/>
      <c r="DK316" s="331"/>
      <c r="DL316" s="331"/>
      <c r="DM316" s="331"/>
      <c r="DN316" s="331"/>
      <c r="DO316" s="331"/>
      <c r="DP316" s="331"/>
      <c r="DQ316" s="331"/>
      <c r="DR316" s="331"/>
      <c r="DS316" s="331"/>
      <c r="DT316" s="331"/>
      <c r="DU316" s="331"/>
      <c r="DV316" s="331"/>
      <c r="DW316" s="331"/>
      <c r="DX316" s="331"/>
      <c r="DY316" s="331"/>
    </row>
    <row r="317" spans="1:129" s="332" customFormat="1" ht="102" x14ac:dyDescent="0.25">
      <c r="A317" s="259">
        <v>318</v>
      </c>
      <c r="B317" s="325" t="s">
        <v>791</v>
      </c>
      <c r="C317" s="259"/>
      <c r="D317" s="325"/>
      <c r="E317" s="259">
        <v>1</v>
      </c>
      <c r="F317" s="325" t="s">
        <v>112</v>
      </c>
      <c r="G317" s="259">
        <v>19</v>
      </c>
      <c r="H317" s="385" t="s">
        <v>195</v>
      </c>
      <c r="I317" s="259">
        <v>1903</v>
      </c>
      <c r="J317" s="325" t="s">
        <v>196</v>
      </c>
      <c r="K317" s="259">
        <v>1903042</v>
      </c>
      <c r="L317" s="325" t="s">
        <v>815</v>
      </c>
      <c r="M317" s="272">
        <v>190304201</v>
      </c>
      <c r="N317" s="333" t="s">
        <v>816</v>
      </c>
      <c r="O317" s="272" t="s">
        <v>67</v>
      </c>
      <c r="P317" s="280">
        <v>530</v>
      </c>
      <c r="Q317" s="280">
        <v>393</v>
      </c>
      <c r="R317" s="281">
        <v>2024003630121</v>
      </c>
      <c r="S317" s="325" t="s">
        <v>807</v>
      </c>
      <c r="T317" s="328"/>
      <c r="U317" s="328"/>
      <c r="V317" s="328"/>
      <c r="W317" s="328"/>
      <c r="X317" s="328"/>
      <c r="Y317" s="328"/>
      <c r="Z317" s="328"/>
      <c r="AA317" s="328"/>
      <c r="AB317" s="328"/>
      <c r="AC317" s="328"/>
      <c r="AD317" s="328"/>
      <c r="AE317" s="328"/>
      <c r="AF317" s="328"/>
      <c r="AG317" s="328"/>
      <c r="AH317" s="328"/>
      <c r="AI317" s="328"/>
      <c r="AJ317" s="328"/>
      <c r="AK317" s="328"/>
      <c r="AL317" s="328"/>
      <c r="AM317" s="328"/>
      <c r="AN317" s="328"/>
      <c r="AO317" s="328">
        <v>717249752.20000005</v>
      </c>
      <c r="AP317" s="328">
        <v>314323008</v>
      </c>
      <c r="AQ317" s="328">
        <v>284489675</v>
      </c>
      <c r="AR317" s="328"/>
      <c r="AS317" s="328"/>
      <c r="AT317" s="328"/>
      <c r="AU317" s="328">
        <f t="shared" si="20"/>
        <v>717249752.20000005</v>
      </c>
      <c r="AV317" s="328">
        <f t="shared" si="17"/>
        <v>314323008</v>
      </c>
      <c r="AW317" s="328">
        <f t="shared" si="18"/>
        <v>284489675</v>
      </c>
      <c r="AX317" s="330" t="s">
        <v>795</v>
      </c>
      <c r="AY317" s="331"/>
      <c r="AZ317" s="331"/>
      <c r="BA317" s="331"/>
      <c r="BB317" s="331"/>
      <c r="BC317" s="331"/>
      <c r="BD317" s="331"/>
      <c r="BE317" s="331"/>
      <c r="BF317" s="331"/>
      <c r="BG317" s="331"/>
      <c r="BH317" s="331"/>
      <c r="BI317" s="331"/>
      <c r="BJ317" s="331"/>
      <c r="BK317" s="331"/>
      <c r="BL317" s="331"/>
      <c r="BM317" s="331"/>
      <c r="BN317" s="331"/>
      <c r="BO317" s="331"/>
      <c r="BP317" s="331"/>
      <c r="BQ317" s="331"/>
      <c r="BR317" s="331"/>
      <c r="BS317" s="331"/>
      <c r="BT317" s="331"/>
      <c r="BU317" s="331"/>
      <c r="BV317" s="331"/>
      <c r="BW317" s="331"/>
      <c r="BX317" s="331"/>
      <c r="BY317" s="331"/>
      <c r="BZ317" s="331"/>
      <c r="CA317" s="331"/>
      <c r="CB317" s="331"/>
      <c r="CC317" s="331"/>
      <c r="CD317" s="331"/>
      <c r="CE317" s="331"/>
      <c r="CF317" s="331"/>
      <c r="CG317" s="331"/>
      <c r="CH317" s="331"/>
      <c r="CI317" s="331"/>
      <c r="CJ317" s="331"/>
      <c r="CK317" s="331"/>
      <c r="CL317" s="331"/>
      <c r="CM317" s="331"/>
      <c r="CN317" s="331"/>
      <c r="CO317" s="331"/>
      <c r="CP317" s="331"/>
      <c r="CQ317" s="331"/>
      <c r="CR317" s="331"/>
      <c r="CS317" s="331"/>
      <c r="CT317" s="331"/>
      <c r="CU317" s="331"/>
      <c r="CV317" s="331"/>
      <c r="CW317" s="331"/>
      <c r="CX317" s="331"/>
      <c r="CY317" s="331"/>
      <c r="CZ317" s="331"/>
      <c r="DA317" s="331"/>
      <c r="DB317" s="331"/>
      <c r="DC317" s="331"/>
      <c r="DD317" s="331"/>
      <c r="DE317" s="331"/>
      <c r="DF317" s="331"/>
      <c r="DG317" s="331"/>
      <c r="DH317" s="331"/>
      <c r="DI317" s="331"/>
      <c r="DJ317" s="331"/>
      <c r="DK317" s="331"/>
      <c r="DL317" s="331"/>
      <c r="DM317" s="331"/>
      <c r="DN317" s="331"/>
      <c r="DO317" s="331"/>
      <c r="DP317" s="331"/>
      <c r="DQ317" s="331"/>
      <c r="DR317" s="331"/>
      <c r="DS317" s="331"/>
      <c r="DT317" s="331"/>
      <c r="DU317" s="331"/>
      <c r="DV317" s="331"/>
      <c r="DW317" s="331"/>
      <c r="DX317" s="331"/>
      <c r="DY317" s="331"/>
    </row>
    <row r="318" spans="1:129" s="331" customFormat="1" ht="38.25" x14ac:dyDescent="0.25">
      <c r="A318" s="257">
        <v>318</v>
      </c>
      <c r="B318" s="376" t="s">
        <v>791</v>
      </c>
      <c r="C318" s="257">
        <v>1</v>
      </c>
      <c r="D318" s="376" t="s">
        <v>105</v>
      </c>
      <c r="E318" s="257">
        <v>1</v>
      </c>
      <c r="F318" s="376" t="s">
        <v>112</v>
      </c>
      <c r="G318" s="257">
        <v>19</v>
      </c>
      <c r="H318" s="376" t="s">
        <v>195</v>
      </c>
      <c r="I318" s="257">
        <v>1903</v>
      </c>
      <c r="J318" s="376" t="s">
        <v>196</v>
      </c>
      <c r="K318" s="257">
        <v>1903011</v>
      </c>
      <c r="L318" s="376" t="s">
        <v>817</v>
      </c>
      <c r="M318" s="284">
        <v>190301100</v>
      </c>
      <c r="N318" s="388" t="s">
        <v>818</v>
      </c>
      <c r="O318" s="280" t="s">
        <v>26</v>
      </c>
      <c r="P318" s="280">
        <v>140</v>
      </c>
      <c r="Q318" s="280">
        <v>140</v>
      </c>
      <c r="R318" s="380">
        <v>2020003630116</v>
      </c>
      <c r="S318" s="376" t="s">
        <v>794</v>
      </c>
      <c r="T318" s="381"/>
      <c r="U318" s="381"/>
      <c r="V318" s="381"/>
      <c r="W318" s="381"/>
      <c r="X318" s="381"/>
      <c r="Y318" s="381"/>
      <c r="Z318" s="381">
        <f>48000000-28080000</f>
        <v>19920000</v>
      </c>
      <c r="AA318" s="381">
        <v>19920000</v>
      </c>
      <c r="AB318" s="381">
        <v>19920000</v>
      </c>
      <c r="AC318" s="381"/>
      <c r="AD318" s="381"/>
      <c r="AE318" s="381"/>
      <c r="AF318" s="381"/>
      <c r="AG318" s="381"/>
      <c r="AH318" s="381"/>
      <c r="AI318" s="381"/>
      <c r="AJ318" s="381"/>
      <c r="AK318" s="381"/>
      <c r="AL318" s="381"/>
      <c r="AM318" s="381"/>
      <c r="AN318" s="381"/>
      <c r="AO318" s="381"/>
      <c r="AP318" s="381"/>
      <c r="AQ318" s="381"/>
      <c r="AR318" s="381"/>
      <c r="AS318" s="381"/>
      <c r="AT318" s="381"/>
      <c r="AU318" s="381">
        <f t="shared" si="20"/>
        <v>19920000</v>
      </c>
      <c r="AV318" s="381">
        <f t="shared" si="17"/>
        <v>19920000</v>
      </c>
      <c r="AW318" s="381">
        <f t="shared" si="18"/>
        <v>19920000</v>
      </c>
      <c r="AX318" s="473" t="s">
        <v>795</v>
      </c>
    </row>
    <row r="319" spans="1:129" s="332" customFormat="1" ht="51" x14ac:dyDescent="0.25">
      <c r="A319" s="259">
        <v>318</v>
      </c>
      <c r="B319" s="325" t="s">
        <v>791</v>
      </c>
      <c r="C319" s="259"/>
      <c r="D319" s="325"/>
      <c r="E319" s="259">
        <v>1</v>
      </c>
      <c r="F319" s="325" t="s">
        <v>112</v>
      </c>
      <c r="G319" s="259">
        <v>19</v>
      </c>
      <c r="H319" s="385" t="s">
        <v>195</v>
      </c>
      <c r="I319" s="259">
        <v>1903</v>
      </c>
      <c r="J319" s="325" t="s">
        <v>196</v>
      </c>
      <c r="K319" s="259">
        <v>1903011</v>
      </c>
      <c r="L319" s="325" t="s">
        <v>817</v>
      </c>
      <c r="M319" s="267">
        <v>190301100</v>
      </c>
      <c r="N319" s="333" t="s">
        <v>818</v>
      </c>
      <c r="O319" s="272" t="s">
        <v>67</v>
      </c>
      <c r="P319" s="280">
        <v>190</v>
      </c>
      <c r="Q319" s="280">
        <v>0</v>
      </c>
      <c r="R319" s="281">
        <v>2024003630112</v>
      </c>
      <c r="S319" s="325" t="s">
        <v>819</v>
      </c>
      <c r="T319" s="328"/>
      <c r="U319" s="328"/>
      <c r="V319" s="328"/>
      <c r="W319" s="328"/>
      <c r="X319" s="328"/>
      <c r="Y319" s="328"/>
      <c r="Z319" s="328">
        <f>30600000-30600000</f>
        <v>0</v>
      </c>
      <c r="AA319" s="328"/>
      <c r="AB319" s="328"/>
      <c r="AC319" s="328"/>
      <c r="AD319" s="328"/>
      <c r="AE319" s="328"/>
      <c r="AF319" s="328"/>
      <c r="AG319" s="328"/>
      <c r="AH319" s="328"/>
      <c r="AI319" s="328"/>
      <c r="AJ319" s="328"/>
      <c r="AK319" s="328"/>
      <c r="AL319" s="328">
        <f>30600000-20000000</f>
        <v>10600000</v>
      </c>
      <c r="AM319" s="328"/>
      <c r="AN319" s="328"/>
      <c r="AO319" s="328"/>
      <c r="AP319" s="328"/>
      <c r="AQ319" s="328"/>
      <c r="AR319" s="328"/>
      <c r="AS319" s="328"/>
      <c r="AT319" s="328"/>
      <c r="AU319" s="328">
        <f t="shared" si="20"/>
        <v>10600000</v>
      </c>
      <c r="AV319" s="328">
        <f t="shared" si="17"/>
        <v>0</v>
      </c>
      <c r="AW319" s="328">
        <f t="shared" si="18"/>
        <v>0</v>
      </c>
      <c r="AX319" s="330" t="s">
        <v>795</v>
      </c>
      <c r="AY319" s="331"/>
      <c r="AZ319" s="331"/>
      <c r="BA319" s="331"/>
      <c r="BB319" s="331"/>
      <c r="BC319" s="331"/>
      <c r="BD319" s="331"/>
      <c r="BE319" s="331"/>
      <c r="BF319" s="331"/>
      <c r="BG319" s="331"/>
      <c r="BH319" s="331"/>
      <c r="BI319" s="331"/>
      <c r="BJ319" s="331"/>
      <c r="BK319" s="331"/>
      <c r="BL319" s="331"/>
      <c r="BM319" s="331"/>
      <c r="BN319" s="331"/>
      <c r="BO319" s="331"/>
      <c r="BP319" s="331"/>
      <c r="BQ319" s="331"/>
      <c r="BR319" s="331"/>
      <c r="BS319" s="331"/>
      <c r="BT319" s="331"/>
      <c r="BU319" s="331"/>
      <c r="BV319" s="331"/>
      <c r="BW319" s="331"/>
      <c r="BX319" s="331"/>
      <c r="BY319" s="331"/>
      <c r="BZ319" s="331"/>
      <c r="CA319" s="331"/>
      <c r="CB319" s="331"/>
      <c r="CC319" s="331"/>
      <c r="CD319" s="331"/>
      <c r="CE319" s="331"/>
      <c r="CF319" s="331"/>
      <c r="CG319" s="331"/>
      <c r="CH319" s="331"/>
      <c r="CI319" s="331"/>
      <c r="CJ319" s="331"/>
      <c r="CK319" s="331"/>
      <c r="CL319" s="331"/>
      <c r="CM319" s="331"/>
      <c r="CN319" s="331"/>
      <c r="CO319" s="331"/>
      <c r="CP319" s="331"/>
      <c r="CQ319" s="331"/>
      <c r="CR319" s="331"/>
      <c r="CS319" s="331"/>
      <c r="CT319" s="331"/>
      <c r="CU319" s="331"/>
      <c r="CV319" s="331"/>
      <c r="CW319" s="331"/>
      <c r="CX319" s="331"/>
      <c r="CY319" s="331"/>
      <c r="CZ319" s="331"/>
      <c r="DA319" s="331"/>
      <c r="DB319" s="331"/>
      <c r="DC319" s="331"/>
      <c r="DD319" s="331"/>
      <c r="DE319" s="331"/>
      <c r="DF319" s="331"/>
      <c r="DG319" s="331"/>
      <c r="DH319" s="331"/>
      <c r="DI319" s="331"/>
      <c r="DJ319" s="331"/>
      <c r="DK319" s="331"/>
      <c r="DL319" s="331"/>
      <c r="DM319" s="331"/>
      <c r="DN319" s="331"/>
      <c r="DO319" s="331"/>
      <c r="DP319" s="331"/>
      <c r="DQ319" s="331"/>
      <c r="DR319" s="331"/>
      <c r="DS319" s="331"/>
      <c r="DT319" s="331"/>
      <c r="DU319" s="331"/>
      <c r="DV319" s="331"/>
      <c r="DW319" s="331"/>
      <c r="DX319" s="331"/>
      <c r="DY319" s="331"/>
    </row>
    <row r="320" spans="1:129" s="331" customFormat="1" ht="51" x14ac:dyDescent="0.25">
      <c r="A320" s="257">
        <v>318</v>
      </c>
      <c r="B320" s="376" t="s">
        <v>791</v>
      </c>
      <c r="C320" s="257">
        <v>1</v>
      </c>
      <c r="D320" s="376" t="s">
        <v>105</v>
      </c>
      <c r="E320" s="257">
        <v>1</v>
      </c>
      <c r="F320" s="376" t="s">
        <v>112</v>
      </c>
      <c r="G320" s="257">
        <v>19</v>
      </c>
      <c r="H320" s="376" t="s">
        <v>195</v>
      </c>
      <c r="I320" s="257">
        <v>1903</v>
      </c>
      <c r="J320" s="376" t="s">
        <v>196</v>
      </c>
      <c r="K320" s="257">
        <v>1903001</v>
      </c>
      <c r="L320" s="376" t="s">
        <v>65</v>
      </c>
      <c r="M320" s="280">
        <v>190300100</v>
      </c>
      <c r="N320" s="388" t="s">
        <v>820</v>
      </c>
      <c r="O320" s="280" t="s">
        <v>26</v>
      </c>
      <c r="P320" s="280">
        <v>2</v>
      </c>
      <c r="Q320" s="280">
        <v>1</v>
      </c>
      <c r="R320" s="380">
        <v>2020003630117</v>
      </c>
      <c r="S320" s="376" t="s">
        <v>821</v>
      </c>
      <c r="T320" s="381"/>
      <c r="U320" s="381"/>
      <c r="V320" s="381"/>
      <c r="W320" s="381"/>
      <c r="X320" s="381"/>
      <c r="Y320" s="381"/>
      <c r="Z320" s="381">
        <f>108000000-22870002</f>
        <v>85129998</v>
      </c>
      <c r="AA320" s="381">
        <v>85129998</v>
      </c>
      <c r="AB320" s="381">
        <v>85129998</v>
      </c>
      <c r="AC320" s="381"/>
      <c r="AD320" s="381"/>
      <c r="AE320" s="381"/>
      <c r="AF320" s="381"/>
      <c r="AG320" s="381"/>
      <c r="AH320" s="381"/>
      <c r="AI320" s="381"/>
      <c r="AJ320" s="381"/>
      <c r="AK320" s="381"/>
      <c r="AL320" s="381"/>
      <c r="AM320" s="381"/>
      <c r="AN320" s="381"/>
      <c r="AO320" s="381"/>
      <c r="AP320" s="381"/>
      <c r="AQ320" s="381"/>
      <c r="AR320" s="381"/>
      <c r="AS320" s="381"/>
      <c r="AT320" s="381"/>
      <c r="AU320" s="381">
        <f t="shared" si="20"/>
        <v>85129998</v>
      </c>
      <c r="AV320" s="381">
        <f t="shared" si="17"/>
        <v>85129998</v>
      </c>
      <c r="AW320" s="381">
        <f t="shared" si="18"/>
        <v>85129998</v>
      </c>
      <c r="AX320" s="473" t="s">
        <v>795</v>
      </c>
    </row>
    <row r="321" spans="1:129" s="331" customFormat="1" ht="38.25" x14ac:dyDescent="0.25">
      <c r="A321" s="257">
        <v>318</v>
      </c>
      <c r="B321" s="376" t="s">
        <v>791</v>
      </c>
      <c r="C321" s="257">
        <v>1</v>
      </c>
      <c r="D321" s="376" t="s">
        <v>105</v>
      </c>
      <c r="E321" s="257">
        <v>1</v>
      </c>
      <c r="F321" s="376" t="s">
        <v>112</v>
      </c>
      <c r="G321" s="257">
        <v>19</v>
      </c>
      <c r="H321" s="376" t="s">
        <v>195</v>
      </c>
      <c r="I321" s="257">
        <v>1903</v>
      </c>
      <c r="J321" s="376" t="s">
        <v>196</v>
      </c>
      <c r="K321" s="257">
        <v>1903012</v>
      </c>
      <c r="L321" s="376" t="s">
        <v>822</v>
      </c>
      <c r="M321" s="284">
        <v>190301200</v>
      </c>
      <c r="N321" s="388" t="s">
        <v>823</v>
      </c>
      <c r="O321" s="280" t="s">
        <v>26</v>
      </c>
      <c r="P321" s="280">
        <v>4000</v>
      </c>
      <c r="Q321" s="280">
        <v>3478</v>
      </c>
      <c r="R321" s="380">
        <v>2020003630118</v>
      </c>
      <c r="S321" s="376" t="s">
        <v>824</v>
      </c>
      <c r="T321" s="381"/>
      <c r="U321" s="381"/>
      <c r="V321" s="381"/>
      <c r="W321" s="381"/>
      <c r="X321" s="381"/>
      <c r="Y321" s="381"/>
      <c r="Z321" s="381">
        <f>793600000-466936429.2</f>
        <v>326663570.80000001</v>
      </c>
      <c r="AA321" s="381">
        <v>304072398.80000001</v>
      </c>
      <c r="AB321" s="381">
        <v>255768651.55000001</v>
      </c>
      <c r="AC321" s="381"/>
      <c r="AD321" s="381"/>
      <c r="AE321" s="381"/>
      <c r="AF321" s="381"/>
      <c r="AG321" s="381"/>
      <c r="AH321" s="381"/>
      <c r="AI321" s="381"/>
      <c r="AJ321" s="381"/>
      <c r="AK321" s="381"/>
      <c r="AL321" s="328">
        <f>295214717.06-132147464.06</f>
        <v>163067253</v>
      </c>
      <c r="AM321" s="381">
        <v>163067253</v>
      </c>
      <c r="AN321" s="381">
        <v>128893780</v>
      </c>
      <c r="AO321" s="381"/>
      <c r="AP321" s="381"/>
      <c r="AQ321" s="381"/>
      <c r="AR321" s="400"/>
      <c r="AS321" s="400"/>
      <c r="AT321" s="400"/>
      <c r="AU321" s="381">
        <f t="shared" si="20"/>
        <v>489730823.80000001</v>
      </c>
      <c r="AV321" s="381">
        <f t="shared" si="17"/>
        <v>467139651.80000001</v>
      </c>
      <c r="AW321" s="381">
        <f t="shared" si="18"/>
        <v>384662431.55000001</v>
      </c>
      <c r="AX321" s="473" t="s">
        <v>795</v>
      </c>
    </row>
    <row r="322" spans="1:129" s="332" customFormat="1" ht="63.75" x14ac:dyDescent="0.25">
      <c r="A322" s="259">
        <v>318</v>
      </c>
      <c r="B322" s="325" t="s">
        <v>791</v>
      </c>
      <c r="C322" s="259"/>
      <c r="D322" s="325"/>
      <c r="E322" s="259">
        <v>1</v>
      </c>
      <c r="F322" s="325" t="s">
        <v>112</v>
      </c>
      <c r="G322" s="259">
        <v>19</v>
      </c>
      <c r="H322" s="385" t="s">
        <v>195</v>
      </c>
      <c r="I322" s="259">
        <v>1903</v>
      </c>
      <c r="J322" s="325" t="s">
        <v>196</v>
      </c>
      <c r="K322" s="259">
        <v>1903012</v>
      </c>
      <c r="L322" s="325" t="s">
        <v>822</v>
      </c>
      <c r="M322" s="267">
        <v>190301200</v>
      </c>
      <c r="N322" s="333" t="s">
        <v>823</v>
      </c>
      <c r="O322" s="272" t="s">
        <v>67</v>
      </c>
      <c r="P322" s="267">
        <v>4300</v>
      </c>
      <c r="Q322" s="267">
        <v>1603</v>
      </c>
      <c r="R322" s="281">
        <v>2024003630124</v>
      </c>
      <c r="S322" s="325" t="s">
        <v>800</v>
      </c>
      <c r="T322" s="328"/>
      <c r="U322" s="328"/>
      <c r="V322" s="328"/>
      <c r="W322" s="328"/>
      <c r="X322" s="328"/>
      <c r="Y322" s="328"/>
      <c r="Z322" s="328">
        <v>360000000</v>
      </c>
      <c r="AA322" s="328">
        <v>347025119</v>
      </c>
      <c r="AB322" s="328">
        <v>78200000</v>
      </c>
      <c r="AC322" s="328"/>
      <c r="AD322" s="328"/>
      <c r="AE322" s="328"/>
      <c r="AF322" s="328"/>
      <c r="AG322" s="328"/>
      <c r="AH322" s="328"/>
      <c r="AI322" s="328"/>
      <c r="AJ322" s="328"/>
      <c r="AK322" s="328"/>
      <c r="AL322" s="328">
        <v>100000000</v>
      </c>
      <c r="AM322" s="328">
        <v>88034563</v>
      </c>
      <c r="AN322" s="328">
        <v>32500000</v>
      </c>
      <c r="AO322" s="328"/>
      <c r="AP322" s="328"/>
      <c r="AQ322" s="328"/>
      <c r="AR322" s="404"/>
      <c r="AS322" s="404"/>
      <c r="AT322" s="404"/>
      <c r="AU322" s="328">
        <f t="shared" si="20"/>
        <v>460000000</v>
      </c>
      <c r="AV322" s="328">
        <f t="shared" si="17"/>
        <v>435059682</v>
      </c>
      <c r="AW322" s="328">
        <f t="shared" si="18"/>
        <v>110700000</v>
      </c>
      <c r="AX322" s="330" t="s">
        <v>795</v>
      </c>
      <c r="AY322" s="331"/>
      <c r="AZ322" s="331"/>
      <c r="BA322" s="331"/>
      <c r="BB322" s="331"/>
      <c r="BC322" s="331"/>
      <c r="BD322" s="331"/>
      <c r="BE322" s="331"/>
      <c r="BF322" s="331"/>
      <c r="BG322" s="331"/>
      <c r="BH322" s="331"/>
      <c r="BI322" s="331"/>
      <c r="BJ322" s="331"/>
      <c r="BK322" s="331"/>
      <c r="BL322" s="331"/>
      <c r="BM322" s="331"/>
      <c r="BN322" s="331"/>
      <c r="BO322" s="331"/>
      <c r="BP322" s="331"/>
      <c r="BQ322" s="331"/>
      <c r="BR322" s="331"/>
      <c r="BS322" s="331"/>
      <c r="BT322" s="331"/>
      <c r="BU322" s="331"/>
      <c r="BV322" s="331"/>
      <c r="BW322" s="331"/>
      <c r="BX322" s="331"/>
      <c r="BY322" s="331"/>
      <c r="BZ322" s="331"/>
      <c r="CA322" s="331"/>
      <c r="CB322" s="331"/>
      <c r="CC322" s="331"/>
      <c r="CD322" s="331"/>
      <c r="CE322" s="331"/>
      <c r="CF322" s="331"/>
      <c r="CG322" s="331"/>
      <c r="CH322" s="331"/>
      <c r="CI322" s="331"/>
      <c r="CJ322" s="331"/>
      <c r="CK322" s="331"/>
      <c r="CL322" s="331"/>
      <c r="CM322" s="331"/>
      <c r="CN322" s="331"/>
      <c r="CO322" s="331"/>
      <c r="CP322" s="331"/>
      <c r="CQ322" s="331"/>
      <c r="CR322" s="331"/>
      <c r="CS322" s="331"/>
      <c r="CT322" s="331"/>
      <c r="CU322" s="331"/>
      <c r="CV322" s="331"/>
      <c r="CW322" s="331"/>
      <c r="CX322" s="331"/>
      <c r="CY322" s="331"/>
      <c r="CZ322" s="331"/>
      <c r="DA322" s="331"/>
      <c r="DB322" s="331"/>
      <c r="DC322" s="331"/>
      <c r="DD322" s="331"/>
      <c r="DE322" s="331"/>
      <c r="DF322" s="331"/>
      <c r="DG322" s="331"/>
      <c r="DH322" s="331"/>
      <c r="DI322" s="331"/>
      <c r="DJ322" s="331"/>
      <c r="DK322" s="331"/>
      <c r="DL322" s="331"/>
      <c r="DM322" s="331"/>
      <c r="DN322" s="331"/>
      <c r="DO322" s="331"/>
      <c r="DP322" s="331"/>
      <c r="DQ322" s="331"/>
      <c r="DR322" s="331"/>
      <c r="DS322" s="331"/>
      <c r="DT322" s="331"/>
      <c r="DU322" s="331"/>
      <c r="DV322" s="331"/>
      <c r="DW322" s="331"/>
      <c r="DX322" s="331"/>
      <c r="DY322" s="331"/>
    </row>
    <row r="323" spans="1:129" s="331" customFormat="1" ht="38.25" x14ac:dyDescent="0.25">
      <c r="A323" s="257">
        <v>318</v>
      </c>
      <c r="B323" s="376" t="s">
        <v>791</v>
      </c>
      <c r="C323" s="257">
        <v>1</v>
      </c>
      <c r="D323" s="376" t="s">
        <v>105</v>
      </c>
      <c r="E323" s="257">
        <v>1</v>
      </c>
      <c r="F323" s="376" t="s">
        <v>112</v>
      </c>
      <c r="G323" s="257">
        <v>19</v>
      </c>
      <c r="H323" s="376" t="s">
        <v>195</v>
      </c>
      <c r="I323" s="257">
        <v>1903</v>
      </c>
      <c r="J323" s="376" t="s">
        <v>196</v>
      </c>
      <c r="K323" s="257">
        <v>1903016</v>
      </c>
      <c r="L323" s="376" t="s">
        <v>825</v>
      </c>
      <c r="M323" s="280">
        <v>190301600</v>
      </c>
      <c r="N323" s="388" t="s">
        <v>826</v>
      </c>
      <c r="O323" s="280" t="s">
        <v>26</v>
      </c>
      <c r="P323" s="280">
        <v>240</v>
      </c>
      <c r="Q323" s="280">
        <v>51</v>
      </c>
      <c r="R323" s="380">
        <v>2020003630118</v>
      </c>
      <c r="S323" s="376" t="s">
        <v>824</v>
      </c>
      <c r="T323" s="381"/>
      <c r="U323" s="381"/>
      <c r="V323" s="381"/>
      <c r="W323" s="381"/>
      <c r="X323" s="381"/>
      <c r="Y323" s="381"/>
      <c r="Z323" s="381">
        <f>112800000-54343333</f>
        <v>58456667</v>
      </c>
      <c r="AA323" s="381">
        <v>58456667</v>
      </c>
      <c r="AB323" s="381">
        <v>58456667</v>
      </c>
      <c r="AC323" s="381"/>
      <c r="AD323" s="381"/>
      <c r="AE323" s="381"/>
      <c r="AF323" s="381"/>
      <c r="AG323" s="381"/>
      <c r="AH323" s="381"/>
      <c r="AI323" s="381"/>
      <c r="AJ323" s="381"/>
      <c r="AK323" s="381"/>
      <c r="AL323" s="328"/>
      <c r="AM323" s="381"/>
      <c r="AN323" s="381"/>
      <c r="AO323" s="381"/>
      <c r="AP323" s="381"/>
      <c r="AQ323" s="381"/>
      <c r="AR323" s="381"/>
      <c r="AS323" s="381"/>
      <c r="AT323" s="381"/>
      <c r="AU323" s="381">
        <f t="shared" si="20"/>
        <v>58456667</v>
      </c>
      <c r="AV323" s="381">
        <f t="shared" si="17"/>
        <v>58456667</v>
      </c>
      <c r="AW323" s="381">
        <f t="shared" si="18"/>
        <v>58456667</v>
      </c>
      <c r="AX323" s="473" t="s">
        <v>795</v>
      </c>
    </row>
    <row r="324" spans="1:129" s="331" customFormat="1" ht="51" x14ac:dyDescent="0.25">
      <c r="A324" s="257">
        <v>318</v>
      </c>
      <c r="B324" s="376" t="s">
        <v>791</v>
      </c>
      <c r="C324" s="257">
        <v>1</v>
      </c>
      <c r="D324" s="376" t="s">
        <v>105</v>
      </c>
      <c r="E324" s="257">
        <v>1</v>
      </c>
      <c r="F324" s="376" t="s">
        <v>112</v>
      </c>
      <c r="G324" s="257">
        <v>19</v>
      </c>
      <c r="H324" s="376" t="s">
        <v>195</v>
      </c>
      <c r="I324" s="257">
        <v>1903</v>
      </c>
      <c r="J324" s="376" t="s">
        <v>196</v>
      </c>
      <c r="K324" s="257">
        <v>1903011</v>
      </c>
      <c r="L324" s="376" t="s">
        <v>817</v>
      </c>
      <c r="M324" s="280">
        <v>190301101</v>
      </c>
      <c r="N324" s="388" t="s">
        <v>827</v>
      </c>
      <c r="O324" s="280" t="s">
        <v>26</v>
      </c>
      <c r="P324" s="280">
        <v>12</v>
      </c>
      <c r="Q324" s="280">
        <v>6</v>
      </c>
      <c r="R324" s="380">
        <v>2020003630118</v>
      </c>
      <c r="S324" s="376" t="s">
        <v>824</v>
      </c>
      <c r="T324" s="381"/>
      <c r="U324" s="381"/>
      <c r="V324" s="381"/>
      <c r="W324" s="381"/>
      <c r="X324" s="381"/>
      <c r="Y324" s="381"/>
      <c r="Z324" s="381">
        <v>48459470</v>
      </c>
      <c r="AA324" s="381">
        <v>48432400</v>
      </c>
      <c r="AB324" s="381">
        <v>26048000</v>
      </c>
      <c r="AC324" s="381"/>
      <c r="AD324" s="381"/>
      <c r="AE324" s="381"/>
      <c r="AF324" s="381"/>
      <c r="AG324" s="381"/>
      <c r="AH324" s="381"/>
      <c r="AI324" s="381"/>
      <c r="AJ324" s="381"/>
      <c r="AK324" s="381"/>
      <c r="AL324" s="328"/>
      <c r="AM324" s="381"/>
      <c r="AN324" s="381"/>
      <c r="AO324" s="381"/>
      <c r="AP324" s="381"/>
      <c r="AQ324" s="381"/>
      <c r="AR324" s="381"/>
      <c r="AS324" s="381"/>
      <c r="AT324" s="381"/>
      <c r="AU324" s="381">
        <f t="shared" si="20"/>
        <v>48459470</v>
      </c>
      <c r="AV324" s="381">
        <f t="shared" si="17"/>
        <v>48432400</v>
      </c>
      <c r="AW324" s="381">
        <f t="shared" si="18"/>
        <v>26048000</v>
      </c>
      <c r="AX324" s="473" t="s">
        <v>795</v>
      </c>
    </row>
    <row r="325" spans="1:129" s="332" customFormat="1" ht="51" x14ac:dyDescent="0.25">
      <c r="A325" s="259">
        <v>318</v>
      </c>
      <c r="B325" s="325" t="s">
        <v>791</v>
      </c>
      <c r="C325" s="259"/>
      <c r="D325" s="325"/>
      <c r="E325" s="259">
        <v>1</v>
      </c>
      <c r="F325" s="325" t="s">
        <v>112</v>
      </c>
      <c r="G325" s="259">
        <v>19</v>
      </c>
      <c r="H325" s="385" t="s">
        <v>195</v>
      </c>
      <c r="I325" s="259">
        <v>1903</v>
      </c>
      <c r="J325" s="325" t="s">
        <v>196</v>
      </c>
      <c r="K325" s="259">
        <v>1903011</v>
      </c>
      <c r="L325" s="325" t="s">
        <v>817</v>
      </c>
      <c r="M325" s="272">
        <v>190301101</v>
      </c>
      <c r="N325" s="333" t="s">
        <v>827</v>
      </c>
      <c r="O325" s="272" t="s">
        <v>26</v>
      </c>
      <c r="P325" s="272">
        <v>12</v>
      </c>
      <c r="Q325" s="272">
        <v>3</v>
      </c>
      <c r="R325" s="281">
        <v>2024003630112</v>
      </c>
      <c r="S325" s="325" t="s">
        <v>819</v>
      </c>
      <c r="T325" s="328"/>
      <c r="U325" s="328"/>
      <c r="V325" s="328"/>
      <c r="W325" s="328"/>
      <c r="X325" s="328"/>
      <c r="Y325" s="328"/>
      <c r="Z325" s="328">
        <f>60000000-60000000</f>
        <v>0</v>
      </c>
      <c r="AA325" s="328"/>
      <c r="AB325" s="328"/>
      <c r="AC325" s="328"/>
      <c r="AD325" s="328"/>
      <c r="AE325" s="328"/>
      <c r="AF325" s="328"/>
      <c r="AG325" s="328"/>
      <c r="AH325" s="328"/>
      <c r="AI325" s="328"/>
      <c r="AJ325" s="328"/>
      <c r="AK325" s="328"/>
      <c r="AL325" s="328">
        <f>60000000-50000000</f>
        <v>10000000</v>
      </c>
      <c r="AM325" s="328"/>
      <c r="AN325" s="328"/>
      <c r="AO325" s="328"/>
      <c r="AP325" s="328"/>
      <c r="AQ325" s="328"/>
      <c r="AR325" s="328"/>
      <c r="AS325" s="328"/>
      <c r="AT325" s="328"/>
      <c r="AU325" s="328">
        <f t="shared" si="20"/>
        <v>10000000</v>
      </c>
      <c r="AV325" s="328">
        <f t="shared" si="17"/>
        <v>0</v>
      </c>
      <c r="AW325" s="328">
        <f t="shared" si="18"/>
        <v>0</v>
      </c>
      <c r="AX325" s="330" t="s">
        <v>795</v>
      </c>
      <c r="AY325" s="331"/>
      <c r="AZ325" s="331"/>
      <c r="BA325" s="331"/>
      <c r="BB325" s="331"/>
      <c r="BC325" s="331"/>
      <c r="BD325" s="331"/>
      <c r="BE325" s="331"/>
      <c r="BF325" s="331"/>
      <c r="BG325" s="331"/>
      <c r="BH325" s="331"/>
      <c r="BI325" s="331"/>
      <c r="BJ325" s="331"/>
      <c r="BK325" s="331"/>
      <c r="BL325" s="331"/>
      <c r="BM325" s="331"/>
      <c r="BN325" s="331"/>
      <c r="BO325" s="331"/>
      <c r="BP325" s="331"/>
      <c r="BQ325" s="331"/>
      <c r="BR325" s="331"/>
      <c r="BS325" s="331"/>
      <c r="BT325" s="331"/>
      <c r="BU325" s="331"/>
      <c r="BV325" s="331"/>
      <c r="BW325" s="331"/>
      <c r="BX325" s="331"/>
      <c r="BY325" s="331"/>
      <c r="BZ325" s="331"/>
      <c r="CA325" s="331"/>
      <c r="CB325" s="331"/>
      <c r="CC325" s="331"/>
      <c r="CD325" s="331"/>
      <c r="CE325" s="331"/>
      <c r="CF325" s="331"/>
      <c r="CG325" s="331"/>
      <c r="CH325" s="331"/>
      <c r="CI325" s="331"/>
      <c r="CJ325" s="331"/>
      <c r="CK325" s="331"/>
      <c r="CL325" s="331"/>
      <c r="CM325" s="331"/>
      <c r="CN325" s="331"/>
      <c r="CO325" s="331"/>
      <c r="CP325" s="331"/>
      <c r="CQ325" s="331"/>
      <c r="CR325" s="331"/>
      <c r="CS325" s="331"/>
      <c r="CT325" s="331"/>
      <c r="CU325" s="331"/>
      <c r="CV325" s="331"/>
      <c r="CW325" s="331"/>
      <c r="CX325" s="331"/>
      <c r="CY325" s="331"/>
      <c r="CZ325" s="331"/>
      <c r="DA325" s="331"/>
      <c r="DB325" s="331"/>
      <c r="DC325" s="331"/>
      <c r="DD325" s="331"/>
      <c r="DE325" s="331"/>
      <c r="DF325" s="331"/>
      <c r="DG325" s="331"/>
      <c r="DH325" s="331"/>
      <c r="DI325" s="331"/>
      <c r="DJ325" s="331"/>
      <c r="DK325" s="331"/>
      <c r="DL325" s="331"/>
      <c r="DM325" s="331"/>
      <c r="DN325" s="331"/>
      <c r="DO325" s="331"/>
      <c r="DP325" s="331"/>
      <c r="DQ325" s="331"/>
      <c r="DR325" s="331"/>
      <c r="DS325" s="331"/>
      <c r="DT325" s="331"/>
      <c r="DU325" s="331"/>
      <c r="DV325" s="331"/>
      <c r="DW325" s="331"/>
      <c r="DX325" s="331"/>
      <c r="DY325" s="331"/>
    </row>
    <row r="326" spans="1:129" s="331" customFormat="1" ht="38.25" x14ac:dyDescent="0.25">
      <c r="A326" s="257">
        <v>318</v>
      </c>
      <c r="B326" s="376" t="s">
        <v>791</v>
      </c>
      <c r="C326" s="257">
        <v>1</v>
      </c>
      <c r="D326" s="376" t="s">
        <v>105</v>
      </c>
      <c r="E326" s="257">
        <v>1</v>
      </c>
      <c r="F326" s="376" t="s">
        <v>112</v>
      </c>
      <c r="G326" s="257">
        <v>19</v>
      </c>
      <c r="H326" s="376" t="s">
        <v>195</v>
      </c>
      <c r="I326" s="257">
        <v>1903</v>
      </c>
      <c r="J326" s="376" t="s">
        <v>196</v>
      </c>
      <c r="K326" s="257">
        <v>1903034</v>
      </c>
      <c r="L326" s="376" t="s">
        <v>69</v>
      </c>
      <c r="M326" s="280">
        <v>190303400</v>
      </c>
      <c r="N326" s="388" t="s">
        <v>828</v>
      </c>
      <c r="O326" s="280" t="s">
        <v>26</v>
      </c>
      <c r="P326" s="280">
        <v>12</v>
      </c>
      <c r="Q326" s="280">
        <v>6</v>
      </c>
      <c r="R326" s="380">
        <v>2020003630119</v>
      </c>
      <c r="S326" s="376" t="s">
        <v>829</v>
      </c>
      <c r="T326" s="381"/>
      <c r="U326" s="381"/>
      <c r="V326" s="381"/>
      <c r="W326" s="381"/>
      <c r="X326" s="381"/>
      <c r="Y326" s="381"/>
      <c r="Z326" s="381"/>
      <c r="AA326" s="381"/>
      <c r="AB326" s="381"/>
      <c r="AC326" s="381"/>
      <c r="AD326" s="381"/>
      <c r="AE326" s="381"/>
      <c r="AF326" s="381"/>
      <c r="AG326" s="381"/>
      <c r="AH326" s="381"/>
      <c r="AI326" s="381"/>
      <c r="AJ326" s="381"/>
      <c r="AK326" s="381"/>
      <c r="AL326" s="328">
        <f>100000000-17640000</f>
        <v>82360000</v>
      </c>
      <c r="AM326" s="381">
        <v>82360000</v>
      </c>
      <c r="AN326" s="381">
        <v>82360000</v>
      </c>
      <c r="AO326" s="381"/>
      <c r="AP326" s="381"/>
      <c r="AQ326" s="381"/>
      <c r="AR326" s="381"/>
      <c r="AS326" s="381"/>
      <c r="AT326" s="381"/>
      <c r="AU326" s="381">
        <f t="shared" si="20"/>
        <v>82360000</v>
      </c>
      <c r="AV326" s="381">
        <f t="shared" si="17"/>
        <v>82360000</v>
      </c>
      <c r="AW326" s="381">
        <f t="shared" si="18"/>
        <v>82360000</v>
      </c>
      <c r="AX326" s="473" t="s">
        <v>795</v>
      </c>
    </row>
    <row r="327" spans="1:129" s="332" customFormat="1" ht="63.75" x14ac:dyDescent="0.25">
      <c r="A327" s="259">
        <v>318</v>
      </c>
      <c r="B327" s="325" t="s">
        <v>791</v>
      </c>
      <c r="C327" s="259"/>
      <c r="D327" s="325"/>
      <c r="E327" s="259">
        <v>1</v>
      </c>
      <c r="F327" s="325" t="s">
        <v>112</v>
      </c>
      <c r="G327" s="259">
        <v>19</v>
      </c>
      <c r="H327" s="385" t="s">
        <v>195</v>
      </c>
      <c r="I327" s="259">
        <v>1903</v>
      </c>
      <c r="J327" s="325" t="s">
        <v>196</v>
      </c>
      <c r="K327" s="259">
        <v>1903034</v>
      </c>
      <c r="L327" s="440" t="s">
        <v>69</v>
      </c>
      <c r="M327" s="272">
        <v>190303400</v>
      </c>
      <c r="N327" s="333" t="s">
        <v>830</v>
      </c>
      <c r="O327" s="272" t="s">
        <v>67</v>
      </c>
      <c r="P327" s="280">
        <v>140</v>
      </c>
      <c r="Q327" s="280">
        <v>0</v>
      </c>
      <c r="R327" s="281">
        <v>2024003630124</v>
      </c>
      <c r="S327" s="325" t="s">
        <v>800</v>
      </c>
      <c r="T327" s="328"/>
      <c r="U327" s="328"/>
      <c r="V327" s="328"/>
      <c r="W327" s="328"/>
      <c r="X327" s="328"/>
      <c r="Y327" s="328"/>
      <c r="Z327" s="328">
        <v>50000000</v>
      </c>
      <c r="AA327" s="328">
        <v>6000000</v>
      </c>
      <c r="AB327" s="328"/>
      <c r="AC327" s="328"/>
      <c r="AD327" s="328"/>
      <c r="AE327" s="328"/>
      <c r="AF327" s="328"/>
      <c r="AG327" s="328"/>
      <c r="AH327" s="328"/>
      <c r="AI327" s="328"/>
      <c r="AJ327" s="328"/>
      <c r="AK327" s="328"/>
      <c r="AL327" s="328"/>
      <c r="AM327" s="328"/>
      <c r="AN327" s="328"/>
      <c r="AO327" s="328"/>
      <c r="AP327" s="328"/>
      <c r="AQ327" s="328"/>
      <c r="AR327" s="328"/>
      <c r="AS327" s="328"/>
      <c r="AT327" s="328"/>
      <c r="AU327" s="328">
        <f t="shared" si="20"/>
        <v>50000000</v>
      </c>
      <c r="AV327" s="328">
        <f t="shared" si="17"/>
        <v>6000000</v>
      </c>
      <c r="AW327" s="328">
        <f t="shared" si="18"/>
        <v>0</v>
      </c>
      <c r="AX327" s="330" t="s">
        <v>795</v>
      </c>
      <c r="AY327" s="331"/>
      <c r="AZ327" s="331"/>
      <c r="BA327" s="331"/>
      <c r="BB327" s="331"/>
      <c r="BC327" s="331"/>
      <c r="BD327" s="331"/>
      <c r="BE327" s="331"/>
      <c r="BF327" s="331"/>
      <c r="BG327" s="331"/>
      <c r="BH327" s="331"/>
      <c r="BI327" s="331"/>
      <c r="BJ327" s="331"/>
      <c r="BK327" s="331"/>
      <c r="BL327" s="331"/>
      <c r="BM327" s="331"/>
      <c r="BN327" s="331"/>
      <c r="BO327" s="331"/>
      <c r="BP327" s="331"/>
      <c r="BQ327" s="331"/>
      <c r="BR327" s="331"/>
      <c r="BS327" s="331"/>
      <c r="BT327" s="331"/>
      <c r="BU327" s="331"/>
      <c r="BV327" s="331"/>
      <c r="BW327" s="331"/>
      <c r="BX327" s="331"/>
      <c r="BY327" s="331"/>
      <c r="BZ327" s="331"/>
      <c r="CA327" s="331"/>
      <c r="CB327" s="331"/>
      <c r="CC327" s="331"/>
      <c r="CD327" s="331"/>
      <c r="CE327" s="331"/>
      <c r="CF327" s="331"/>
      <c r="CG327" s="331"/>
      <c r="CH327" s="331"/>
      <c r="CI327" s="331"/>
      <c r="CJ327" s="331"/>
      <c r="CK327" s="331"/>
      <c r="CL327" s="331"/>
      <c r="CM327" s="331"/>
      <c r="CN327" s="331"/>
      <c r="CO327" s="331"/>
      <c r="CP327" s="331"/>
      <c r="CQ327" s="331"/>
      <c r="CR327" s="331"/>
      <c r="CS327" s="331"/>
      <c r="CT327" s="331"/>
      <c r="CU327" s="331"/>
      <c r="CV327" s="331"/>
      <c r="CW327" s="331"/>
      <c r="CX327" s="331"/>
      <c r="CY327" s="331"/>
      <c r="CZ327" s="331"/>
      <c r="DA327" s="331"/>
      <c r="DB327" s="331"/>
      <c r="DC327" s="331"/>
      <c r="DD327" s="331"/>
      <c r="DE327" s="331"/>
      <c r="DF327" s="331"/>
      <c r="DG327" s="331"/>
      <c r="DH327" s="331"/>
      <c r="DI327" s="331"/>
      <c r="DJ327" s="331"/>
      <c r="DK327" s="331"/>
      <c r="DL327" s="331"/>
      <c r="DM327" s="331"/>
      <c r="DN327" s="331"/>
      <c r="DO327" s="331"/>
      <c r="DP327" s="331"/>
      <c r="DQ327" s="331"/>
      <c r="DR327" s="331"/>
      <c r="DS327" s="331"/>
      <c r="DT327" s="331"/>
      <c r="DU327" s="331"/>
      <c r="DV327" s="331"/>
      <c r="DW327" s="331"/>
      <c r="DX327" s="331"/>
      <c r="DY327" s="331"/>
    </row>
    <row r="328" spans="1:129" s="332" customFormat="1" ht="63.75" x14ac:dyDescent="0.25">
      <c r="A328" s="259">
        <v>318</v>
      </c>
      <c r="B328" s="325" t="s">
        <v>791</v>
      </c>
      <c r="C328" s="259"/>
      <c r="D328" s="325"/>
      <c r="E328" s="259">
        <v>1</v>
      </c>
      <c r="F328" s="325" t="s">
        <v>112</v>
      </c>
      <c r="G328" s="259">
        <v>19</v>
      </c>
      <c r="H328" s="385" t="s">
        <v>195</v>
      </c>
      <c r="I328" s="259">
        <v>1903</v>
      </c>
      <c r="J328" s="325" t="s">
        <v>196</v>
      </c>
      <c r="K328" s="259">
        <v>1903001</v>
      </c>
      <c r="L328" s="440" t="s">
        <v>65</v>
      </c>
      <c r="M328" s="272">
        <v>190300102</v>
      </c>
      <c r="N328" s="333" t="s">
        <v>831</v>
      </c>
      <c r="O328" s="272" t="s">
        <v>26</v>
      </c>
      <c r="P328" s="272">
        <v>12</v>
      </c>
      <c r="Q328" s="272">
        <v>8</v>
      </c>
      <c r="R328" s="281">
        <v>2024003630124</v>
      </c>
      <c r="S328" s="325" t="s">
        <v>800</v>
      </c>
      <c r="T328" s="328"/>
      <c r="U328" s="328"/>
      <c r="V328" s="328"/>
      <c r="W328" s="328"/>
      <c r="X328" s="328"/>
      <c r="Y328" s="328"/>
      <c r="Z328" s="328">
        <v>80000000</v>
      </c>
      <c r="AA328" s="328"/>
      <c r="AB328" s="328"/>
      <c r="AC328" s="328"/>
      <c r="AD328" s="328"/>
      <c r="AE328" s="328"/>
      <c r="AF328" s="343"/>
      <c r="AG328" s="343"/>
      <c r="AH328" s="343"/>
      <c r="AI328" s="328"/>
      <c r="AJ328" s="328"/>
      <c r="AK328" s="328"/>
      <c r="AL328" s="328"/>
      <c r="AM328" s="328"/>
      <c r="AN328" s="328"/>
      <c r="AO328" s="328"/>
      <c r="AP328" s="328"/>
      <c r="AQ328" s="328"/>
      <c r="AR328" s="328"/>
      <c r="AS328" s="328"/>
      <c r="AT328" s="328"/>
      <c r="AU328" s="328">
        <f t="shared" si="20"/>
        <v>80000000</v>
      </c>
      <c r="AV328" s="328">
        <f t="shared" si="17"/>
        <v>0</v>
      </c>
      <c r="AW328" s="328">
        <f t="shared" si="18"/>
        <v>0</v>
      </c>
      <c r="AX328" s="330" t="s">
        <v>795</v>
      </c>
      <c r="AY328" s="331"/>
      <c r="AZ328" s="331"/>
      <c r="BA328" s="331"/>
      <c r="BB328" s="331"/>
      <c r="BC328" s="331"/>
      <c r="BD328" s="331"/>
      <c r="BE328" s="331"/>
      <c r="BF328" s="331"/>
      <c r="BG328" s="331"/>
      <c r="BH328" s="331"/>
      <c r="BI328" s="331"/>
      <c r="BJ328" s="331"/>
      <c r="BK328" s="331"/>
      <c r="BL328" s="331"/>
      <c r="BM328" s="331"/>
      <c r="BN328" s="331"/>
      <c r="BO328" s="331"/>
      <c r="BP328" s="331"/>
      <c r="BQ328" s="331"/>
      <c r="BR328" s="331"/>
      <c r="BS328" s="331"/>
      <c r="BT328" s="331"/>
      <c r="BU328" s="331"/>
      <c r="BV328" s="331"/>
      <c r="BW328" s="331"/>
      <c r="BX328" s="331"/>
      <c r="BY328" s="331"/>
      <c r="BZ328" s="331"/>
      <c r="CA328" s="331"/>
      <c r="CB328" s="331"/>
      <c r="CC328" s="331"/>
      <c r="CD328" s="331"/>
      <c r="CE328" s="331"/>
      <c r="CF328" s="331"/>
      <c r="CG328" s="331"/>
      <c r="CH328" s="331"/>
      <c r="CI328" s="331"/>
      <c r="CJ328" s="331"/>
      <c r="CK328" s="331"/>
      <c r="CL328" s="331"/>
      <c r="CM328" s="331"/>
      <c r="CN328" s="331"/>
      <c r="CO328" s="331"/>
      <c r="CP328" s="331"/>
      <c r="CQ328" s="331"/>
      <c r="CR328" s="331"/>
      <c r="CS328" s="331"/>
      <c r="CT328" s="331"/>
      <c r="CU328" s="331"/>
      <c r="CV328" s="331"/>
      <c r="CW328" s="331"/>
      <c r="CX328" s="331"/>
      <c r="CY328" s="331"/>
      <c r="CZ328" s="331"/>
      <c r="DA328" s="331"/>
      <c r="DB328" s="331"/>
      <c r="DC328" s="331"/>
      <c r="DD328" s="331"/>
      <c r="DE328" s="331"/>
      <c r="DF328" s="331"/>
      <c r="DG328" s="331"/>
      <c r="DH328" s="331"/>
      <c r="DI328" s="331"/>
      <c r="DJ328" s="331"/>
      <c r="DK328" s="331"/>
      <c r="DL328" s="331"/>
      <c r="DM328" s="331"/>
      <c r="DN328" s="331"/>
      <c r="DO328" s="331"/>
      <c r="DP328" s="331"/>
      <c r="DQ328" s="331"/>
      <c r="DR328" s="331"/>
      <c r="DS328" s="331"/>
      <c r="DT328" s="331"/>
      <c r="DU328" s="331"/>
      <c r="DV328" s="331"/>
      <c r="DW328" s="331"/>
      <c r="DX328" s="331"/>
      <c r="DY328" s="331"/>
    </row>
    <row r="329" spans="1:129" s="459" customFormat="1" ht="51" x14ac:dyDescent="0.25">
      <c r="A329" s="292">
        <v>318</v>
      </c>
      <c r="B329" s="454" t="s">
        <v>791</v>
      </c>
      <c r="C329" s="292">
        <v>1</v>
      </c>
      <c r="D329" s="454" t="s">
        <v>105</v>
      </c>
      <c r="E329" s="292">
        <v>1</v>
      </c>
      <c r="F329" s="454" t="s">
        <v>112</v>
      </c>
      <c r="G329" s="292">
        <v>19</v>
      </c>
      <c r="H329" s="454" t="s">
        <v>195</v>
      </c>
      <c r="I329" s="292">
        <v>1903</v>
      </c>
      <c r="J329" s="454" t="s">
        <v>196</v>
      </c>
      <c r="K329" s="292">
        <v>1903045</v>
      </c>
      <c r="L329" s="454" t="s">
        <v>813</v>
      </c>
      <c r="M329" s="299">
        <v>190304500</v>
      </c>
      <c r="N329" s="453" t="s">
        <v>814</v>
      </c>
      <c r="O329" s="465" t="s">
        <v>67</v>
      </c>
      <c r="P329" s="312">
        <v>1058</v>
      </c>
      <c r="Q329" s="312">
        <v>219</v>
      </c>
      <c r="R329" s="337">
        <v>2020003630120</v>
      </c>
      <c r="S329" s="454" t="s">
        <v>832</v>
      </c>
      <c r="T329" s="457"/>
      <c r="U329" s="457"/>
      <c r="V329" s="457"/>
      <c r="W329" s="457"/>
      <c r="X329" s="457"/>
      <c r="Y329" s="457"/>
      <c r="Z329" s="457"/>
      <c r="AA329" s="457"/>
      <c r="AB329" s="457"/>
      <c r="AC329" s="457"/>
      <c r="AD329" s="457"/>
      <c r="AE329" s="457"/>
      <c r="AF329" s="457"/>
      <c r="AG329" s="457"/>
      <c r="AH329" s="457"/>
      <c r="AI329" s="457"/>
      <c r="AJ329" s="457"/>
      <c r="AK329" s="457"/>
      <c r="AL329" s="457">
        <f>150000000-45853334</f>
        <v>104146666</v>
      </c>
      <c r="AM329" s="457">
        <v>104146666</v>
      </c>
      <c r="AN329" s="457">
        <v>86946666</v>
      </c>
      <c r="AO329" s="457"/>
      <c r="AP329" s="457"/>
      <c r="AQ329" s="457"/>
      <c r="AR329" s="457"/>
      <c r="AS329" s="457"/>
      <c r="AT329" s="457"/>
      <c r="AU329" s="457">
        <f t="shared" si="20"/>
        <v>104146666</v>
      </c>
      <c r="AV329" s="457">
        <f t="shared" si="17"/>
        <v>104146666</v>
      </c>
      <c r="AW329" s="457">
        <f t="shared" si="18"/>
        <v>86946666</v>
      </c>
      <c r="AX329" s="475" t="s">
        <v>795</v>
      </c>
    </row>
    <row r="330" spans="1:129" s="498" customFormat="1" ht="51" x14ac:dyDescent="0.25">
      <c r="A330" s="292">
        <v>318</v>
      </c>
      <c r="B330" s="454" t="s">
        <v>791</v>
      </c>
      <c r="C330" s="292">
        <v>1</v>
      </c>
      <c r="D330" s="454" t="s">
        <v>105</v>
      </c>
      <c r="E330" s="292">
        <v>1</v>
      </c>
      <c r="F330" s="454" t="s">
        <v>112</v>
      </c>
      <c r="G330" s="292">
        <v>19</v>
      </c>
      <c r="H330" s="454" t="s">
        <v>195</v>
      </c>
      <c r="I330" s="292">
        <v>1903</v>
      </c>
      <c r="J330" s="454" t="s">
        <v>196</v>
      </c>
      <c r="K330" s="292">
        <v>1903028</v>
      </c>
      <c r="L330" s="454" t="s">
        <v>833</v>
      </c>
      <c r="M330" s="299">
        <v>190302800</v>
      </c>
      <c r="N330" s="453" t="s">
        <v>834</v>
      </c>
      <c r="O330" s="299" t="s">
        <v>26</v>
      </c>
      <c r="P330" s="299">
        <v>250</v>
      </c>
      <c r="Q330" s="299">
        <v>145</v>
      </c>
      <c r="R330" s="337">
        <v>2020003630121</v>
      </c>
      <c r="S330" s="454" t="s">
        <v>835</v>
      </c>
      <c r="T330" s="457"/>
      <c r="U330" s="457"/>
      <c r="V330" s="457"/>
      <c r="W330" s="457"/>
      <c r="X330" s="457"/>
      <c r="Y330" s="457"/>
      <c r="Z330" s="457"/>
      <c r="AA330" s="457"/>
      <c r="AB330" s="457"/>
      <c r="AC330" s="457">
        <v>0</v>
      </c>
      <c r="AD330" s="457"/>
      <c r="AE330" s="457"/>
      <c r="AF330" s="457"/>
      <c r="AG330" s="457"/>
      <c r="AH330" s="457"/>
      <c r="AI330" s="457"/>
      <c r="AJ330" s="457"/>
      <c r="AK330" s="457"/>
      <c r="AL330" s="457">
        <f>50000000-9600000</f>
        <v>40400000</v>
      </c>
      <c r="AM330" s="457">
        <v>40400000</v>
      </c>
      <c r="AN330" s="457">
        <v>40400000</v>
      </c>
      <c r="AO330" s="457"/>
      <c r="AP330" s="457"/>
      <c r="AQ330" s="457"/>
      <c r="AR330" s="457"/>
      <c r="AS330" s="457"/>
      <c r="AT330" s="457"/>
      <c r="AU330" s="457">
        <f t="shared" si="20"/>
        <v>40400000</v>
      </c>
      <c r="AV330" s="457">
        <f t="shared" si="17"/>
        <v>40400000</v>
      </c>
      <c r="AW330" s="457">
        <f t="shared" si="18"/>
        <v>40400000</v>
      </c>
      <c r="AX330" s="475" t="s">
        <v>795</v>
      </c>
      <c r="AY330" s="459"/>
      <c r="AZ330" s="459"/>
    </row>
    <row r="331" spans="1:129" s="498" customFormat="1" ht="63.75" x14ac:dyDescent="0.25">
      <c r="A331" s="292">
        <v>318</v>
      </c>
      <c r="B331" s="454" t="s">
        <v>791</v>
      </c>
      <c r="C331" s="292">
        <v>1</v>
      </c>
      <c r="D331" s="454" t="s">
        <v>105</v>
      </c>
      <c r="E331" s="292">
        <v>1</v>
      </c>
      <c r="F331" s="454" t="s">
        <v>112</v>
      </c>
      <c r="G331" s="292">
        <v>19</v>
      </c>
      <c r="H331" s="454" t="s">
        <v>195</v>
      </c>
      <c r="I331" s="292">
        <v>1903</v>
      </c>
      <c r="J331" s="454" t="s">
        <v>196</v>
      </c>
      <c r="K331" s="292">
        <v>1903025</v>
      </c>
      <c r="L331" s="454" t="s">
        <v>836</v>
      </c>
      <c r="M331" s="299">
        <v>190302500</v>
      </c>
      <c r="N331" s="453" t="s">
        <v>837</v>
      </c>
      <c r="O331" s="299" t="s">
        <v>26</v>
      </c>
      <c r="P331" s="299">
        <v>12</v>
      </c>
      <c r="Q331" s="299">
        <v>6</v>
      </c>
      <c r="R331" s="337">
        <v>2020003630121</v>
      </c>
      <c r="S331" s="454" t="s">
        <v>835</v>
      </c>
      <c r="T331" s="457"/>
      <c r="U331" s="457"/>
      <c r="V331" s="457"/>
      <c r="W331" s="457"/>
      <c r="X331" s="457"/>
      <c r="Y331" s="457"/>
      <c r="Z331" s="457"/>
      <c r="AA331" s="457"/>
      <c r="AB331" s="457"/>
      <c r="AC331" s="457">
        <v>0</v>
      </c>
      <c r="AD331" s="457"/>
      <c r="AE331" s="457"/>
      <c r="AF331" s="457"/>
      <c r="AG331" s="457"/>
      <c r="AH331" s="457"/>
      <c r="AI331" s="457"/>
      <c r="AJ331" s="457"/>
      <c r="AK331" s="457"/>
      <c r="AL331" s="457">
        <f>100000000-58243334</f>
        <v>41756666</v>
      </c>
      <c r="AM331" s="457">
        <v>41756666</v>
      </c>
      <c r="AN331" s="457">
        <v>41756666</v>
      </c>
      <c r="AO331" s="457"/>
      <c r="AP331" s="457"/>
      <c r="AQ331" s="457"/>
      <c r="AR331" s="457"/>
      <c r="AS331" s="457"/>
      <c r="AT331" s="457"/>
      <c r="AU331" s="457">
        <f t="shared" si="20"/>
        <v>41756666</v>
      </c>
      <c r="AV331" s="457">
        <f t="shared" si="17"/>
        <v>41756666</v>
      </c>
      <c r="AW331" s="457">
        <f t="shared" si="18"/>
        <v>41756666</v>
      </c>
      <c r="AX331" s="475" t="s">
        <v>795</v>
      </c>
      <c r="AY331" s="459"/>
      <c r="AZ331" s="459"/>
    </row>
    <row r="332" spans="1:129" s="450" customFormat="1" ht="38.25" x14ac:dyDescent="0.25">
      <c r="A332" s="259">
        <v>318</v>
      </c>
      <c r="B332" s="325" t="s">
        <v>791</v>
      </c>
      <c r="C332" s="271"/>
      <c r="D332" s="386"/>
      <c r="E332" s="271">
        <v>1</v>
      </c>
      <c r="F332" s="386" t="s">
        <v>112</v>
      </c>
      <c r="G332" s="281">
        <v>19</v>
      </c>
      <c r="H332" s="385" t="s">
        <v>195</v>
      </c>
      <c r="I332" s="281">
        <v>1903</v>
      </c>
      <c r="J332" s="325" t="s">
        <v>196</v>
      </c>
      <c r="K332" s="281">
        <v>1903010</v>
      </c>
      <c r="L332" s="385" t="s">
        <v>838</v>
      </c>
      <c r="M332" s="272">
        <v>190301000</v>
      </c>
      <c r="N332" s="333" t="s">
        <v>839</v>
      </c>
      <c r="O332" s="272" t="s">
        <v>26</v>
      </c>
      <c r="P332" s="272">
        <v>10</v>
      </c>
      <c r="Q332" s="272">
        <v>0</v>
      </c>
      <c r="R332" s="281">
        <v>2024003630110</v>
      </c>
      <c r="S332" s="325" t="s">
        <v>840</v>
      </c>
      <c r="T332" s="328"/>
      <c r="U332" s="328"/>
      <c r="V332" s="328"/>
      <c r="W332" s="328"/>
      <c r="X332" s="328"/>
      <c r="Y332" s="328"/>
      <c r="Z332" s="328"/>
      <c r="AA332" s="328"/>
      <c r="AB332" s="328"/>
      <c r="AC332" s="328"/>
      <c r="AD332" s="328"/>
      <c r="AE332" s="328"/>
      <c r="AF332" s="328"/>
      <c r="AG332" s="328"/>
      <c r="AH332" s="328"/>
      <c r="AI332" s="328"/>
      <c r="AJ332" s="328"/>
      <c r="AK332" s="328"/>
      <c r="AL332" s="328">
        <v>5000000</v>
      </c>
      <c r="AM332" s="328"/>
      <c r="AN332" s="328"/>
      <c r="AO332" s="328"/>
      <c r="AP332" s="328"/>
      <c r="AQ332" s="328"/>
      <c r="AR332" s="328"/>
      <c r="AS332" s="328"/>
      <c r="AT332" s="328"/>
      <c r="AU332" s="328">
        <f t="shared" si="20"/>
        <v>5000000</v>
      </c>
      <c r="AV332" s="328">
        <f t="shared" ref="AV332:AV395" si="21">SUM(U332,X332,AA332,AD332,AG332,AJ332,AM332,AP332,AS332)</f>
        <v>0</v>
      </c>
      <c r="AW332" s="328">
        <f t="shared" ref="AW332:AW395" si="22">SUM(V332,Y332,AB332,AE332,AH332,AK332,AN332,AQ332,AT332)</f>
        <v>0</v>
      </c>
      <c r="AX332" s="330" t="s">
        <v>795</v>
      </c>
      <c r="AY332" s="331"/>
      <c r="AZ332" s="331"/>
      <c r="BA332" s="449"/>
      <c r="BB332" s="449"/>
      <c r="BC332" s="449"/>
      <c r="BD332" s="449"/>
      <c r="BE332" s="449"/>
      <c r="BF332" s="449"/>
      <c r="BG332" s="449"/>
      <c r="BH332" s="449"/>
      <c r="BI332" s="449"/>
      <c r="BJ332" s="449"/>
      <c r="BK332" s="449"/>
      <c r="BL332" s="449"/>
      <c r="BM332" s="449"/>
      <c r="BN332" s="449"/>
      <c r="BO332" s="449"/>
      <c r="BP332" s="449"/>
      <c r="BQ332" s="449"/>
      <c r="BR332" s="449"/>
      <c r="BS332" s="449"/>
      <c r="BT332" s="449"/>
      <c r="BU332" s="449"/>
      <c r="BV332" s="449"/>
      <c r="BW332" s="449"/>
      <c r="BX332" s="449"/>
      <c r="BY332" s="449"/>
      <c r="BZ332" s="449"/>
      <c r="CA332" s="449"/>
      <c r="CB332" s="449"/>
      <c r="CC332" s="449"/>
      <c r="CD332" s="449"/>
      <c r="CE332" s="449"/>
      <c r="CF332" s="449"/>
      <c r="CG332" s="449"/>
      <c r="CH332" s="449"/>
      <c r="CI332" s="449"/>
      <c r="CJ332" s="449"/>
      <c r="CK332" s="449"/>
      <c r="CL332" s="449"/>
      <c r="CM332" s="449"/>
      <c r="CN332" s="449"/>
      <c r="CO332" s="449"/>
      <c r="CP332" s="449"/>
      <c r="CQ332" s="449"/>
      <c r="CR332" s="449"/>
      <c r="CS332" s="449"/>
      <c r="CT332" s="449"/>
      <c r="CU332" s="449"/>
      <c r="CV332" s="449"/>
      <c r="CW332" s="449"/>
      <c r="CX332" s="449"/>
      <c r="CY332" s="449"/>
      <c r="CZ332" s="449"/>
      <c r="DA332" s="449"/>
      <c r="DB332" s="449"/>
      <c r="DC332" s="449"/>
      <c r="DD332" s="449"/>
      <c r="DE332" s="449"/>
      <c r="DF332" s="449"/>
      <c r="DG332" s="449"/>
      <c r="DH332" s="449"/>
      <c r="DI332" s="449"/>
      <c r="DJ332" s="449"/>
      <c r="DK332" s="449"/>
      <c r="DL332" s="449"/>
      <c r="DM332" s="449"/>
      <c r="DN332" s="449"/>
      <c r="DO332" s="449"/>
      <c r="DP332" s="449"/>
      <c r="DQ332" s="449"/>
      <c r="DR332" s="449"/>
      <c r="DS332" s="449"/>
      <c r="DT332" s="449"/>
      <c r="DU332" s="449"/>
      <c r="DV332" s="449"/>
      <c r="DW332" s="449"/>
      <c r="DX332" s="449"/>
      <c r="DY332" s="449"/>
    </row>
    <row r="333" spans="1:129" s="450" customFormat="1" ht="63.75" x14ac:dyDescent="0.25">
      <c r="A333" s="259">
        <v>318</v>
      </c>
      <c r="B333" s="325" t="s">
        <v>791</v>
      </c>
      <c r="C333" s="259"/>
      <c r="D333" s="325"/>
      <c r="E333" s="259">
        <v>1</v>
      </c>
      <c r="F333" s="325" t="s">
        <v>112</v>
      </c>
      <c r="G333" s="259">
        <v>19</v>
      </c>
      <c r="H333" s="385" t="s">
        <v>195</v>
      </c>
      <c r="I333" s="281">
        <v>1903</v>
      </c>
      <c r="J333" s="325" t="s">
        <v>196</v>
      </c>
      <c r="K333" s="259">
        <v>1903025</v>
      </c>
      <c r="L333" s="325" t="s">
        <v>836</v>
      </c>
      <c r="M333" s="272">
        <v>190302500</v>
      </c>
      <c r="N333" s="333" t="s">
        <v>837</v>
      </c>
      <c r="O333" s="272" t="s">
        <v>26</v>
      </c>
      <c r="P333" s="272">
        <v>12</v>
      </c>
      <c r="Q333" s="272">
        <v>12</v>
      </c>
      <c r="R333" s="281">
        <v>2024003630110</v>
      </c>
      <c r="S333" s="325" t="s">
        <v>840</v>
      </c>
      <c r="T333" s="328"/>
      <c r="U333" s="328"/>
      <c r="V333" s="328"/>
      <c r="W333" s="328"/>
      <c r="X333" s="328"/>
      <c r="Y333" s="328"/>
      <c r="Z333" s="328"/>
      <c r="AA333" s="328"/>
      <c r="AB333" s="328"/>
      <c r="AC333" s="328"/>
      <c r="AD333" s="328"/>
      <c r="AE333" s="328"/>
      <c r="AF333" s="328"/>
      <c r="AG333" s="328"/>
      <c r="AH333" s="328"/>
      <c r="AI333" s="328"/>
      <c r="AJ333" s="328"/>
      <c r="AK333" s="328"/>
      <c r="AL333" s="328">
        <v>14460835</v>
      </c>
      <c r="AM333" s="328">
        <v>14460835</v>
      </c>
      <c r="AN333" s="328">
        <v>8000000</v>
      </c>
      <c r="AO333" s="328"/>
      <c r="AP333" s="328"/>
      <c r="AQ333" s="328"/>
      <c r="AR333" s="328"/>
      <c r="AS333" s="328"/>
      <c r="AT333" s="328"/>
      <c r="AU333" s="328">
        <f t="shared" si="20"/>
        <v>14460835</v>
      </c>
      <c r="AV333" s="328">
        <f t="shared" si="21"/>
        <v>14460835</v>
      </c>
      <c r="AW333" s="328">
        <f t="shared" si="22"/>
        <v>8000000</v>
      </c>
      <c r="AX333" s="330" t="s">
        <v>795</v>
      </c>
      <c r="AY333" s="331"/>
      <c r="AZ333" s="331"/>
      <c r="BA333" s="449"/>
      <c r="BB333" s="449"/>
      <c r="BC333" s="449"/>
      <c r="BD333" s="449"/>
      <c r="BE333" s="449"/>
      <c r="BF333" s="449"/>
      <c r="BG333" s="449"/>
      <c r="BH333" s="449"/>
      <c r="BI333" s="449"/>
      <c r="BJ333" s="449"/>
      <c r="BK333" s="449"/>
      <c r="BL333" s="449"/>
      <c r="BM333" s="449"/>
      <c r="BN333" s="449"/>
      <c r="BO333" s="449"/>
      <c r="BP333" s="449"/>
      <c r="BQ333" s="449"/>
      <c r="BR333" s="449"/>
      <c r="BS333" s="449"/>
      <c r="BT333" s="449"/>
      <c r="BU333" s="449"/>
      <c r="BV333" s="449"/>
      <c r="BW333" s="449"/>
      <c r="BX333" s="449"/>
      <c r="BY333" s="449"/>
      <c r="BZ333" s="449"/>
      <c r="CA333" s="449"/>
      <c r="CB333" s="449"/>
      <c r="CC333" s="449"/>
      <c r="CD333" s="449"/>
      <c r="CE333" s="449"/>
      <c r="CF333" s="449"/>
      <c r="CG333" s="449"/>
      <c r="CH333" s="449"/>
      <c r="CI333" s="449"/>
      <c r="CJ333" s="449"/>
      <c r="CK333" s="449"/>
      <c r="CL333" s="449"/>
      <c r="CM333" s="449"/>
      <c r="CN333" s="449"/>
      <c r="CO333" s="449"/>
      <c r="CP333" s="449"/>
      <c r="CQ333" s="449"/>
      <c r="CR333" s="449"/>
      <c r="CS333" s="449"/>
      <c r="CT333" s="449"/>
      <c r="CU333" s="449"/>
      <c r="CV333" s="449"/>
      <c r="CW333" s="449"/>
      <c r="CX333" s="449"/>
      <c r="CY333" s="449"/>
      <c r="CZ333" s="449"/>
      <c r="DA333" s="449"/>
      <c r="DB333" s="449"/>
      <c r="DC333" s="449"/>
      <c r="DD333" s="449"/>
      <c r="DE333" s="449"/>
      <c r="DF333" s="449"/>
      <c r="DG333" s="449"/>
      <c r="DH333" s="449"/>
      <c r="DI333" s="449"/>
      <c r="DJ333" s="449"/>
      <c r="DK333" s="449"/>
      <c r="DL333" s="449"/>
      <c r="DM333" s="449"/>
      <c r="DN333" s="449"/>
      <c r="DO333" s="449"/>
      <c r="DP333" s="449"/>
      <c r="DQ333" s="449"/>
      <c r="DR333" s="449"/>
      <c r="DS333" s="449"/>
      <c r="DT333" s="449"/>
      <c r="DU333" s="449"/>
      <c r="DV333" s="449"/>
      <c r="DW333" s="449"/>
      <c r="DX333" s="449"/>
      <c r="DY333" s="449"/>
    </row>
    <row r="334" spans="1:129" s="450" customFormat="1" ht="51" x14ac:dyDescent="0.25">
      <c r="A334" s="259">
        <v>318</v>
      </c>
      <c r="B334" s="325" t="s">
        <v>791</v>
      </c>
      <c r="C334" s="259"/>
      <c r="D334" s="325"/>
      <c r="E334" s="259">
        <v>1</v>
      </c>
      <c r="F334" s="325" t="s">
        <v>112</v>
      </c>
      <c r="G334" s="259">
        <v>19</v>
      </c>
      <c r="H334" s="385" t="s">
        <v>195</v>
      </c>
      <c r="I334" s="259">
        <v>1903</v>
      </c>
      <c r="J334" s="325" t="s">
        <v>196</v>
      </c>
      <c r="K334" s="259">
        <v>1903028</v>
      </c>
      <c r="L334" s="325" t="s">
        <v>841</v>
      </c>
      <c r="M334" s="272">
        <v>190302800</v>
      </c>
      <c r="N334" s="333" t="s">
        <v>834</v>
      </c>
      <c r="O334" s="272" t="s">
        <v>67</v>
      </c>
      <c r="P334" s="280">
        <v>75</v>
      </c>
      <c r="Q334" s="280">
        <v>135</v>
      </c>
      <c r="R334" s="281">
        <v>2024003630110</v>
      </c>
      <c r="S334" s="325" t="s">
        <v>840</v>
      </c>
      <c r="T334" s="328"/>
      <c r="U334" s="328"/>
      <c r="V334" s="328"/>
      <c r="W334" s="328"/>
      <c r="X334" s="328"/>
      <c r="Y334" s="328"/>
      <c r="Z334" s="328"/>
      <c r="AA334" s="328"/>
      <c r="AB334" s="328"/>
      <c r="AC334" s="328"/>
      <c r="AD334" s="328"/>
      <c r="AE334" s="328"/>
      <c r="AF334" s="328"/>
      <c r="AG334" s="328"/>
      <c r="AH334" s="328"/>
      <c r="AI334" s="328"/>
      <c r="AJ334" s="328"/>
      <c r="AK334" s="328"/>
      <c r="AL334" s="328">
        <v>14460833</v>
      </c>
      <c r="AM334" s="328">
        <v>14460833</v>
      </c>
      <c r="AN334" s="328">
        <v>9500000</v>
      </c>
      <c r="AO334" s="328"/>
      <c r="AP334" s="328"/>
      <c r="AQ334" s="328"/>
      <c r="AR334" s="328"/>
      <c r="AS334" s="328"/>
      <c r="AT334" s="328"/>
      <c r="AU334" s="328">
        <f t="shared" si="20"/>
        <v>14460833</v>
      </c>
      <c r="AV334" s="328">
        <f t="shared" si="21"/>
        <v>14460833</v>
      </c>
      <c r="AW334" s="328">
        <f t="shared" si="22"/>
        <v>9500000</v>
      </c>
      <c r="AX334" s="330" t="s">
        <v>795</v>
      </c>
      <c r="AY334" s="331"/>
      <c r="AZ334" s="331"/>
      <c r="BA334" s="449"/>
      <c r="BB334" s="449"/>
      <c r="BC334" s="449"/>
      <c r="BD334" s="449"/>
      <c r="BE334" s="449"/>
      <c r="BF334" s="449"/>
      <c r="BG334" s="449"/>
      <c r="BH334" s="449"/>
      <c r="BI334" s="449"/>
      <c r="BJ334" s="449"/>
      <c r="BK334" s="449"/>
      <c r="BL334" s="449"/>
      <c r="BM334" s="449"/>
      <c r="BN334" s="449"/>
      <c r="BO334" s="449"/>
      <c r="BP334" s="449"/>
      <c r="BQ334" s="449"/>
      <c r="BR334" s="449"/>
      <c r="BS334" s="449"/>
      <c r="BT334" s="449"/>
      <c r="BU334" s="449"/>
      <c r="BV334" s="449"/>
      <c r="BW334" s="449"/>
      <c r="BX334" s="449"/>
      <c r="BY334" s="449"/>
      <c r="BZ334" s="449"/>
      <c r="CA334" s="449"/>
      <c r="CB334" s="449"/>
      <c r="CC334" s="449"/>
      <c r="CD334" s="449"/>
      <c r="CE334" s="449"/>
      <c r="CF334" s="449"/>
      <c r="CG334" s="449"/>
      <c r="CH334" s="449"/>
      <c r="CI334" s="449"/>
      <c r="CJ334" s="449"/>
      <c r="CK334" s="449"/>
      <c r="CL334" s="449"/>
      <c r="CM334" s="449"/>
      <c r="CN334" s="449"/>
      <c r="CO334" s="449"/>
      <c r="CP334" s="449"/>
      <c r="CQ334" s="449"/>
      <c r="CR334" s="449"/>
      <c r="CS334" s="449"/>
      <c r="CT334" s="449"/>
      <c r="CU334" s="449"/>
      <c r="CV334" s="449"/>
      <c r="CW334" s="449"/>
      <c r="CX334" s="449"/>
      <c r="CY334" s="449"/>
      <c r="CZ334" s="449"/>
      <c r="DA334" s="449"/>
      <c r="DB334" s="449"/>
      <c r="DC334" s="449"/>
      <c r="DD334" s="449"/>
      <c r="DE334" s="449"/>
      <c r="DF334" s="449"/>
      <c r="DG334" s="449"/>
      <c r="DH334" s="449"/>
      <c r="DI334" s="449"/>
      <c r="DJ334" s="449"/>
      <c r="DK334" s="449"/>
      <c r="DL334" s="449"/>
      <c r="DM334" s="449"/>
      <c r="DN334" s="449"/>
      <c r="DO334" s="449"/>
      <c r="DP334" s="449"/>
      <c r="DQ334" s="449"/>
      <c r="DR334" s="449"/>
      <c r="DS334" s="449"/>
      <c r="DT334" s="449"/>
      <c r="DU334" s="449"/>
      <c r="DV334" s="449"/>
      <c r="DW334" s="449"/>
      <c r="DX334" s="449"/>
      <c r="DY334" s="449"/>
    </row>
    <row r="335" spans="1:129" s="450" customFormat="1" ht="76.5" x14ac:dyDescent="0.25">
      <c r="A335" s="259">
        <v>318</v>
      </c>
      <c r="B335" s="325" t="s">
        <v>791</v>
      </c>
      <c r="C335" s="259"/>
      <c r="D335" s="325"/>
      <c r="E335" s="259">
        <v>1</v>
      </c>
      <c r="F335" s="325" t="s">
        <v>112</v>
      </c>
      <c r="G335" s="259">
        <v>19</v>
      </c>
      <c r="H335" s="385" t="s">
        <v>195</v>
      </c>
      <c r="I335" s="281">
        <v>1903</v>
      </c>
      <c r="J335" s="325" t="s">
        <v>196</v>
      </c>
      <c r="K335" s="259">
        <v>1903019</v>
      </c>
      <c r="L335" s="325" t="s">
        <v>842</v>
      </c>
      <c r="M335" s="272">
        <v>190301900</v>
      </c>
      <c r="N335" s="333" t="s">
        <v>843</v>
      </c>
      <c r="O335" s="272" t="s">
        <v>67</v>
      </c>
      <c r="P335" s="272">
        <v>30</v>
      </c>
      <c r="Q335" s="272">
        <v>0</v>
      </c>
      <c r="R335" s="281">
        <v>2024003630110</v>
      </c>
      <c r="S335" s="325" t="s">
        <v>840</v>
      </c>
      <c r="T335" s="328"/>
      <c r="U335" s="328"/>
      <c r="V335" s="328"/>
      <c r="W335" s="328"/>
      <c r="X335" s="328"/>
      <c r="Y335" s="328"/>
      <c r="Z335" s="328"/>
      <c r="AA335" s="328"/>
      <c r="AB335" s="328"/>
      <c r="AC335" s="328"/>
      <c r="AD335" s="328"/>
      <c r="AE335" s="328"/>
      <c r="AF335" s="328"/>
      <c r="AG335" s="328"/>
      <c r="AH335" s="328"/>
      <c r="AI335" s="328"/>
      <c r="AJ335" s="328"/>
      <c r="AK335" s="328"/>
      <c r="AL335" s="328">
        <v>5000000</v>
      </c>
      <c r="AM335" s="328">
        <v>0</v>
      </c>
      <c r="AN335" s="328">
        <v>0</v>
      </c>
      <c r="AO335" s="328"/>
      <c r="AP335" s="328"/>
      <c r="AQ335" s="328"/>
      <c r="AR335" s="328"/>
      <c r="AS335" s="328"/>
      <c r="AT335" s="328"/>
      <c r="AU335" s="328">
        <f t="shared" si="20"/>
        <v>5000000</v>
      </c>
      <c r="AV335" s="328">
        <f t="shared" si="21"/>
        <v>0</v>
      </c>
      <c r="AW335" s="328">
        <f t="shared" si="22"/>
        <v>0</v>
      </c>
      <c r="AX335" s="330" t="s">
        <v>795</v>
      </c>
      <c r="AY335" s="331"/>
      <c r="AZ335" s="331"/>
      <c r="BA335" s="449"/>
      <c r="BB335" s="449"/>
      <c r="BC335" s="449"/>
      <c r="BD335" s="449"/>
      <c r="BE335" s="449"/>
      <c r="BF335" s="449"/>
      <c r="BG335" s="449"/>
      <c r="BH335" s="449"/>
      <c r="BI335" s="449"/>
      <c r="BJ335" s="449"/>
      <c r="BK335" s="449"/>
      <c r="BL335" s="449"/>
      <c r="BM335" s="449"/>
      <c r="BN335" s="449"/>
      <c r="BO335" s="449"/>
      <c r="BP335" s="449"/>
      <c r="BQ335" s="449"/>
      <c r="BR335" s="449"/>
      <c r="BS335" s="449"/>
      <c r="BT335" s="449"/>
      <c r="BU335" s="449"/>
      <c r="BV335" s="449"/>
      <c r="BW335" s="449"/>
      <c r="BX335" s="449"/>
      <c r="BY335" s="449"/>
      <c r="BZ335" s="449"/>
      <c r="CA335" s="449"/>
      <c r="CB335" s="449"/>
      <c r="CC335" s="449"/>
      <c r="CD335" s="449"/>
      <c r="CE335" s="449"/>
      <c r="CF335" s="449"/>
      <c r="CG335" s="449"/>
      <c r="CH335" s="449"/>
      <c r="CI335" s="449"/>
      <c r="CJ335" s="449"/>
      <c r="CK335" s="449"/>
      <c r="CL335" s="449"/>
      <c r="CM335" s="449"/>
      <c r="CN335" s="449"/>
      <c r="CO335" s="449"/>
      <c r="CP335" s="449"/>
      <c r="CQ335" s="449"/>
      <c r="CR335" s="449"/>
      <c r="CS335" s="449"/>
      <c r="CT335" s="449"/>
      <c r="CU335" s="449"/>
      <c r="CV335" s="449"/>
      <c r="CW335" s="449"/>
      <c r="CX335" s="449"/>
      <c r="CY335" s="449"/>
      <c r="CZ335" s="449"/>
      <c r="DA335" s="449"/>
      <c r="DB335" s="449"/>
      <c r="DC335" s="449"/>
      <c r="DD335" s="449"/>
      <c r="DE335" s="449"/>
      <c r="DF335" s="449"/>
      <c r="DG335" s="449"/>
      <c r="DH335" s="449"/>
      <c r="DI335" s="449"/>
      <c r="DJ335" s="449"/>
      <c r="DK335" s="449"/>
      <c r="DL335" s="449"/>
      <c r="DM335" s="449"/>
      <c r="DN335" s="449"/>
      <c r="DO335" s="449"/>
      <c r="DP335" s="449"/>
      <c r="DQ335" s="449"/>
      <c r="DR335" s="449"/>
      <c r="DS335" s="449"/>
      <c r="DT335" s="449"/>
      <c r="DU335" s="449"/>
      <c r="DV335" s="449"/>
      <c r="DW335" s="449"/>
      <c r="DX335" s="449"/>
      <c r="DY335" s="449"/>
    </row>
    <row r="336" spans="1:129" s="450" customFormat="1" ht="63.75" x14ac:dyDescent="0.25">
      <c r="A336" s="259">
        <v>318</v>
      </c>
      <c r="B336" s="325" t="s">
        <v>791</v>
      </c>
      <c r="C336" s="259"/>
      <c r="D336" s="325"/>
      <c r="E336" s="259">
        <v>1</v>
      </c>
      <c r="F336" s="325" t="s">
        <v>112</v>
      </c>
      <c r="G336" s="259">
        <v>19</v>
      </c>
      <c r="H336" s="385" t="s">
        <v>195</v>
      </c>
      <c r="I336" s="259">
        <v>1903</v>
      </c>
      <c r="J336" s="325" t="s">
        <v>196</v>
      </c>
      <c r="K336" s="259">
        <v>1903047</v>
      </c>
      <c r="L336" s="325" t="s">
        <v>844</v>
      </c>
      <c r="M336" s="272">
        <v>190304700</v>
      </c>
      <c r="N336" s="333" t="s">
        <v>845</v>
      </c>
      <c r="O336" s="272" t="s">
        <v>26</v>
      </c>
      <c r="P336" s="280">
        <v>2</v>
      </c>
      <c r="Q336" s="280">
        <v>1</v>
      </c>
      <c r="R336" s="281">
        <v>2024003630110</v>
      </c>
      <c r="S336" s="325" t="s">
        <v>840</v>
      </c>
      <c r="T336" s="328"/>
      <c r="U336" s="328"/>
      <c r="V336" s="328"/>
      <c r="W336" s="328"/>
      <c r="X336" s="328"/>
      <c r="Y336" s="328"/>
      <c r="Z336" s="328"/>
      <c r="AA336" s="328"/>
      <c r="AB336" s="328"/>
      <c r="AC336" s="328"/>
      <c r="AD336" s="328"/>
      <c r="AE336" s="328"/>
      <c r="AF336" s="328"/>
      <c r="AG336" s="328"/>
      <c r="AH336" s="328"/>
      <c r="AI336" s="328"/>
      <c r="AJ336" s="328"/>
      <c r="AK336" s="328"/>
      <c r="AL336" s="328">
        <v>14460833</v>
      </c>
      <c r="AM336" s="328">
        <f>AL336</f>
        <v>14460833</v>
      </c>
      <c r="AN336" s="328">
        <v>7400000</v>
      </c>
      <c r="AO336" s="328"/>
      <c r="AP336" s="328"/>
      <c r="AQ336" s="328"/>
      <c r="AR336" s="328"/>
      <c r="AS336" s="328"/>
      <c r="AT336" s="328"/>
      <c r="AU336" s="328">
        <f>SUM(T336,W336,Z336,AC336,AF336,AI336,AL336,AO336,AR336)</f>
        <v>14460833</v>
      </c>
      <c r="AV336" s="328">
        <f t="shared" si="21"/>
        <v>14460833</v>
      </c>
      <c r="AW336" s="328">
        <f t="shared" si="22"/>
        <v>7400000</v>
      </c>
      <c r="AX336" s="330" t="s">
        <v>795</v>
      </c>
      <c r="AY336" s="331"/>
      <c r="AZ336" s="331"/>
      <c r="BA336" s="449"/>
      <c r="BB336" s="449"/>
      <c r="BC336" s="449"/>
      <c r="BD336" s="449"/>
      <c r="BE336" s="449"/>
      <c r="BF336" s="449"/>
      <c r="BG336" s="449"/>
      <c r="BH336" s="449"/>
      <c r="BI336" s="449"/>
      <c r="BJ336" s="449"/>
      <c r="BK336" s="449"/>
      <c r="BL336" s="449"/>
      <c r="BM336" s="449"/>
      <c r="BN336" s="449"/>
      <c r="BO336" s="449"/>
      <c r="BP336" s="449"/>
      <c r="BQ336" s="449"/>
      <c r="BR336" s="449"/>
      <c r="BS336" s="449"/>
      <c r="BT336" s="449"/>
      <c r="BU336" s="449"/>
      <c r="BV336" s="449"/>
      <c r="BW336" s="449"/>
      <c r="BX336" s="449"/>
      <c r="BY336" s="449"/>
      <c r="BZ336" s="449"/>
      <c r="CA336" s="449"/>
      <c r="CB336" s="449"/>
      <c r="CC336" s="449"/>
      <c r="CD336" s="449"/>
      <c r="CE336" s="449"/>
      <c r="CF336" s="449"/>
      <c r="CG336" s="449"/>
      <c r="CH336" s="449"/>
      <c r="CI336" s="449"/>
      <c r="CJ336" s="449"/>
      <c r="CK336" s="449"/>
      <c r="CL336" s="449"/>
      <c r="CM336" s="449"/>
      <c r="CN336" s="449"/>
      <c r="CO336" s="449"/>
      <c r="CP336" s="449"/>
      <c r="CQ336" s="449"/>
      <c r="CR336" s="449"/>
      <c r="CS336" s="449"/>
      <c r="CT336" s="449"/>
      <c r="CU336" s="449"/>
      <c r="CV336" s="449"/>
      <c r="CW336" s="449"/>
      <c r="CX336" s="449"/>
      <c r="CY336" s="449"/>
      <c r="CZ336" s="449"/>
      <c r="DA336" s="449"/>
      <c r="DB336" s="449"/>
      <c r="DC336" s="449"/>
      <c r="DD336" s="449"/>
      <c r="DE336" s="449"/>
      <c r="DF336" s="449"/>
      <c r="DG336" s="449"/>
      <c r="DH336" s="449"/>
      <c r="DI336" s="449"/>
      <c r="DJ336" s="449"/>
      <c r="DK336" s="449"/>
      <c r="DL336" s="449"/>
      <c r="DM336" s="449"/>
      <c r="DN336" s="449"/>
      <c r="DO336" s="449"/>
      <c r="DP336" s="449"/>
      <c r="DQ336" s="449"/>
      <c r="DR336" s="449"/>
      <c r="DS336" s="449"/>
      <c r="DT336" s="449"/>
      <c r="DU336" s="449"/>
      <c r="DV336" s="449"/>
      <c r="DW336" s="449"/>
      <c r="DX336" s="449"/>
      <c r="DY336" s="449"/>
    </row>
    <row r="337" spans="1:129" s="450" customFormat="1" ht="63.75" x14ac:dyDescent="0.25">
      <c r="A337" s="259">
        <v>318</v>
      </c>
      <c r="B337" s="325" t="s">
        <v>791</v>
      </c>
      <c r="C337" s="259"/>
      <c r="D337" s="325"/>
      <c r="E337" s="259">
        <v>1</v>
      </c>
      <c r="F337" s="325" t="s">
        <v>112</v>
      </c>
      <c r="G337" s="259">
        <v>19</v>
      </c>
      <c r="H337" s="385" t="s">
        <v>195</v>
      </c>
      <c r="I337" s="259">
        <v>1903</v>
      </c>
      <c r="J337" s="325" t="s">
        <v>196</v>
      </c>
      <c r="K337" s="259">
        <v>1903047</v>
      </c>
      <c r="L337" s="325" t="s">
        <v>844</v>
      </c>
      <c r="M337" s="272">
        <v>190304701</v>
      </c>
      <c r="N337" s="333" t="s">
        <v>846</v>
      </c>
      <c r="O337" s="272" t="s">
        <v>26</v>
      </c>
      <c r="P337" s="280">
        <v>2</v>
      </c>
      <c r="Q337" s="280">
        <v>1</v>
      </c>
      <c r="R337" s="281">
        <v>2024003630110</v>
      </c>
      <c r="S337" s="325" t="s">
        <v>840</v>
      </c>
      <c r="T337" s="328"/>
      <c r="U337" s="328"/>
      <c r="V337" s="328"/>
      <c r="W337" s="328"/>
      <c r="X337" s="328"/>
      <c r="Y337" s="328"/>
      <c r="Z337" s="328"/>
      <c r="AA337" s="328"/>
      <c r="AB337" s="328"/>
      <c r="AC337" s="328"/>
      <c r="AD337" s="328"/>
      <c r="AE337" s="328"/>
      <c r="AF337" s="328"/>
      <c r="AG337" s="328"/>
      <c r="AH337" s="328"/>
      <c r="AI337" s="328"/>
      <c r="AJ337" s="328"/>
      <c r="AK337" s="328"/>
      <c r="AL337" s="328">
        <v>14460833</v>
      </c>
      <c r="AM337" s="328">
        <f>AL337</f>
        <v>14460833</v>
      </c>
      <c r="AN337" s="328">
        <v>7400000</v>
      </c>
      <c r="AO337" s="328"/>
      <c r="AP337" s="328"/>
      <c r="AQ337" s="328"/>
      <c r="AR337" s="328"/>
      <c r="AS337" s="328"/>
      <c r="AT337" s="328"/>
      <c r="AU337" s="328">
        <f t="shared" si="20"/>
        <v>14460833</v>
      </c>
      <c r="AV337" s="328">
        <f t="shared" si="21"/>
        <v>14460833</v>
      </c>
      <c r="AW337" s="328">
        <f t="shared" si="22"/>
        <v>7400000</v>
      </c>
      <c r="AX337" s="330" t="s">
        <v>795</v>
      </c>
      <c r="AY337" s="331"/>
      <c r="AZ337" s="331"/>
      <c r="BA337" s="449"/>
      <c r="BB337" s="449"/>
      <c r="BC337" s="449"/>
      <c r="BD337" s="449"/>
      <c r="BE337" s="449"/>
      <c r="BF337" s="449"/>
      <c r="BG337" s="449"/>
      <c r="BH337" s="449"/>
      <c r="BI337" s="449"/>
      <c r="BJ337" s="449"/>
      <c r="BK337" s="449"/>
      <c r="BL337" s="449"/>
      <c r="BM337" s="449"/>
      <c r="BN337" s="449"/>
      <c r="BO337" s="449"/>
      <c r="BP337" s="449"/>
      <c r="BQ337" s="449"/>
      <c r="BR337" s="449"/>
      <c r="BS337" s="449"/>
      <c r="BT337" s="449"/>
      <c r="BU337" s="449"/>
      <c r="BV337" s="449"/>
      <c r="BW337" s="449"/>
      <c r="BX337" s="449"/>
      <c r="BY337" s="449"/>
      <c r="BZ337" s="449"/>
      <c r="CA337" s="449"/>
      <c r="CB337" s="449"/>
      <c r="CC337" s="449"/>
      <c r="CD337" s="449"/>
      <c r="CE337" s="449"/>
      <c r="CF337" s="449"/>
      <c r="CG337" s="449"/>
      <c r="CH337" s="449"/>
      <c r="CI337" s="449"/>
      <c r="CJ337" s="449"/>
      <c r="CK337" s="449"/>
      <c r="CL337" s="449"/>
      <c r="CM337" s="449"/>
      <c r="CN337" s="449"/>
      <c r="CO337" s="449"/>
      <c r="CP337" s="449"/>
      <c r="CQ337" s="449"/>
      <c r="CR337" s="449"/>
      <c r="CS337" s="449"/>
      <c r="CT337" s="449"/>
      <c r="CU337" s="449"/>
      <c r="CV337" s="449"/>
      <c r="CW337" s="449"/>
      <c r="CX337" s="449"/>
      <c r="CY337" s="449"/>
      <c r="CZ337" s="449"/>
      <c r="DA337" s="449"/>
      <c r="DB337" s="449"/>
      <c r="DC337" s="449"/>
      <c r="DD337" s="449"/>
      <c r="DE337" s="449"/>
      <c r="DF337" s="449"/>
      <c r="DG337" s="449"/>
      <c r="DH337" s="449"/>
      <c r="DI337" s="449"/>
      <c r="DJ337" s="449"/>
      <c r="DK337" s="449"/>
      <c r="DL337" s="449"/>
      <c r="DM337" s="449"/>
      <c r="DN337" s="449"/>
      <c r="DO337" s="449"/>
      <c r="DP337" s="449"/>
      <c r="DQ337" s="449"/>
      <c r="DR337" s="449"/>
      <c r="DS337" s="449"/>
      <c r="DT337" s="449"/>
      <c r="DU337" s="449"/>
      <c r="DV337" s="449"/>
      <c r="DW337" s="449"/>
      <c r="DX337" s="449"/>
      <c r="DY337" s="449"/>
    </row>
    <row r="338" spans="1:129" s="331" customFormat="1" ht="114.75" x14ac:dyDescent="0.25">
      <c r="A338" s="257">
        <v>318</v>
      </c>
      <c r="B338" s="376" t="s">
        <v>791</v>
      </c>
      <c r="C338" s="257">
        <v>1</v>
      </c>
      <c r="D338" s="376" t="s">
        <v>105</v>
      </c>
      <c r="E338" s="257">
        <v>1</v>
      </c>
      <c r="F338" s="376" t="s">
        <v>112</v>
      </c>
      <c r="G338" s="257">
        <v>19</v>
      </c>
      <c r="H338" s="376" t="s">
        <v>195</v>
      </c>
      <c r="I338" s="257">
        <v>1905</v>
      </c>
      <c r="J338" s="376" t="s">
        <v>847</v>
      </c>
      <c r="K338" s="257">
        <v>1905028</v>
      </c>
      <c r="L338" s="376" t="s">
        <v>848</v>
      </c>
      <c r="M338" s="280">
        <v>190502800</v>
      </c>
      <c r="N338" s="388" t="s">
        <v>849</v>
      </c>
      <c r="O338" s="280" t="s">
        <v>26</v>
      </c>
      <c r="P338" s="280">
        <v>12</v>
      </c>
      <c r="Q338" s="280">
        <v>3</v>
      </c>
      <c r="R338" s="380">
        <v>2020003630122</v>
      </c>
      <c r="S338" s="376" t="s">
        <v>850</v>
      </c>
      <c r="T338" s="381"/>
      <c r="U338" s="381"/>
      <c r="V338" s="381"/>
      <c r="W338" s="381"/>
      <c r="X338" s="381"/>
      <c r="Y338" s="381"/>
      <c r="Z338" s="381">
        <f>108000000-82346667</f>
        <v>25653333</v>
      </c>
      <c r="AA338" s="381">
        <v>25653333</v>
      </c>
      <c r="AB338" s="381">
        <v>25653333</v>
      </c>
      <c r="AC338" s="381"/>
      <c r="AD338" s="381"/>
      <c r="AE338" s="381"/>
      <c r="AF338" s="381"/>
      <c r="AG338" s="381"/>
      <c r="AH338" s="381"/>
      <c r="AI338" s="381"/>
      <c r="AJ338" s="381"/>
      <c r="AK338" s="381"/>
      <c r="AL338" s="328"/>
      <c r="AM338" s="381"/>
      <c r="AN338" s="381"/>
      <c r="AO338" s="381"/>
      <c r="AP338" s="381"/>
      <c r="AQ338" s="381"/>
      <c r="AR338" s="381"/>
      <c r="AS338" s="381"/>
      <c r="AT338" s="381"/>
      <c r="AU338" s="381">
        <f t="shared" si="20"/>
        <v>25653333</v>
      </c>
      <c r="AV338" s="381">
        <f t="shared" si="21"/>
        <v>25653333</v>
      </c>
      <c r="AW338" s="381">
        <f t="shared" si="22"/>
        <v>25653333</v>
      </c>
      <c r="AX338" s="473" t="s">
        <v>795</v>
      </c>
    </row>
    <row r="339" spans="1:129" s="331" customFormat="1" ht="102" x14ac:dyDescent="0.25">
      <c r="A339" s="257">
        <v>318</v>
      </c>
      <c r="B339" s="376" t="s">
        <v>791</v>
      </c>
      <c r="C339" s="257">
        <v>1</v>
      </c>
      <c r="D339" s="376" t="s">
        <v>105</v>
      </c>
      <c r="E339" s="257">
        <v>1</v>
      </c>
      <c r="F339" s="376" t="s">
        <v>112</v>
      </c>
      <c r="G339" s="257">
        <v>19</v>
      </c>
      <c r="H339" s="376" t="s">
        <v>195</v>
      </c>
      <c r="I339" s="257">
        <v>1905</v>
      </c>
      <c r="J339" s="376" t="s">
        <v>847</v>
      </c>
      <c r="K339" s="257">
        <v>1905031</v>
      </c>
      <c r="L339" s="376" t="s">
        <v>851</v>
      </c>
      <c r="M339" s="257">
        <v>190503100</v>
      </c>
      <c r="N339" s="388" t="s">
        <v>852</v>
      </c>
      <c r="O339" s="280" t="s">
        <v>26</v>
      </c>
      <c r="P339" s="280">
        <v>12</v>
      </c>
      <c r="Q339" s="280">
        <v>6</v>
      </c>
      <c r="R339" s="380">
        <v>2020003630122</v>
      </c>
      <c r="S339" s="376" t="s">
        <v>850</v>
      </c>
      <c r="T339" s="381"/>
      <c r="U339" s="381"/>
      <c r="V339" s="381"/>
      <c r="W339" s="381"/>
      <c r="X339" s="381"/>
      <c r="Y339" s="381"/>
      <c r="Z339" s="381">
        <f>54000000-44000000</f>
        <v>10000000</v>
      </c>
      <c r="AA339" s="381">
        <v>10000000</v>
      </c>
      <c r="AB339" s="381">
        <v>10000000</v>
      </c>
      <c r="AC339" s="381"/>
      <c r="AD339" s="381"/>
      <c r="AE339" s="381"/>
      <c r="AF339" s="381"/>
      <c r="AG339" s="381"/>
      <c r="AH339" s="381"/>
      <c r="AI339" s="381"/>
      <c r="AJ339" s="381"/>
      <c r="AK339" s="381"/>
      <c r="AL339" s="328">
        <f>150000000-139800000</f>
        <v>10200000</v>
      </c>
      <c r="AM339" s="381">
        <v>10200000</v>
      </c>
      <c r="AN339" s="381">
        <v>10200000</v>
      </c>
      <c r="AO339" s="381"/>
      <c r="AP339" s="381"/>
      <c r="AQ339" s="381"/>
      <c r="AR339" s="381"/>
      <c r="AS339" s="381"/>
      <c r="AT339" s="381"/>
      <c r="AU339" s="381">
        <f t="shared" si="20"/>
        <v>20200000</v>
      </c>
      <c r="AV339" s="381">
        <f t="shared" si="21"/>
        <v>20200000</v>
      </c>
      <c r="AW339" s="381">
        <f t="shared" si="22"/>
        <v>20200000</v>
      </c>
      <c r="AX339" s="473" t="s">
        <v>795</v>
      </c>
    </row>
    <row r="340" spans="1:129" s="331" customFormat="1" ht="38.25" x14ac:dyDescent="0.25">
      <c r="A340" s="257">
        <v>318</v>
      </c>
      <c r="B340" s="376" t="s">
        <v>791</v>
      </c>
      <c r="C340" s="257">
        <v>1</v>
      </c>
      <c r="D340" s="376" t="s">
        <v>105</v>
      </c>
      <c r="E340" s="257">
        <v>1</v>
      </c>
      <c r="F340" s="376" t="s">
        <v>112</v>
      </c>
      <c r="G340" s="257">
        <v>19</v>
      </c>
      <c r="H340" s="376" t="s">
        <v>195</v>
      </c>
      <c r="I340" s="257">
        <v>1905</v>
      </c>
      <c r="J340" s="376" t="s">
        <v>847</v>
      </c>
      <c r="K340" s="257">
        <v>1905019</v>
      </c>
      <c r="L340" s="376" t="s">
        <v>853</v>
      </c>
      <c r="M340" s="280">
        <v>190501900</v>
      </c>
      <c r="N340" s="388" t="s">
        <v>294</v>
      </c>
      <c r="O340" s="280" t="s">
        <v>26</v>
      </c>
      <c r="P340" s="280">
        <v>60</v>
      </c>
      <c r="Q340" s="280">
        <v>60</v>
      </c>
      <c r="R340" s="380">
        <v>2020003630123</v>
      </c>
      <c r="S340" s="376" t="s">
        <v>854</v>
      </c>
      <c r="T340" s="381"/>
      <c r="U340" s="381"/>
      <c r="V340" s="381"/>
      <c r="W340" s="381"/>
      <c r="X340" s="381"/>
      <c r="Y340" s="381"/>
      <c r="Z340" s="381">
        <f>36000000- 25023334</f>
        <v>10976666</v>
      </c>
      <c r="AA340" s="381">
        <v>10976666</v>
      </c>
      <c r="AB340" s="381">
        <v>10976666</v>
      </c>
      <c r="AC340" s="381"/>
      <c r="AD340" s="381"/>
      <c r="AE340" s="381"/>
      <c r="AF340" s="381"/>
      <c r="AG340" s="381"/>
      <c r="AH340" s="381"/>
      <c r="AI340" s="381"/>
      <c r="AJ340" s="381"/>
      <c r="AK340" s="381"/>
      <c r="AL340" s="328"/>
      <c r="AM340" s="381"/>
      <c r="AN340" s="381"/>
      <c r="AO340" s="381"/>
      <c r="AP340" s="381"/>
      <c r="AQ340" s="381"/>
      <c r="AR340" s="381"/>
      <c r="AS340" s="381"/>
      <c r="AT340" s="381"/>
      <c r="AU340" s="381">
        <f t="shared" si="20"/>
        <v>10976666</v>
      </c>
      <c r="AV340" s="381">
        <f t="shared" si="21"/>
        <v>10976666</v>
      </c>
      <c r="AW340" s="381">
        <f t="shared" si="22"/>
        <v>10976666</v>
      </c>
      <c r="AX340" s="473" t="s">
        <v>795</v>
      </c>
    </row>
    <row r="341" spans="1:129" s="332" customFormat="1" ht="38.25" x14ac:dyDescent="0.25">
      <c r="A341" s="259">
        <v>318</v>
      </c>
      <c r="B341" s="325" t="s">
        <v>791</v>
      </c>
      <c r="C341" s="259"/>
      <c r="D341" s="325"/>
      <c r="E341" s="259">
        <v>1</v>
      </c>
      <c r="F341" s="325" t="s">
        <v>112</v>
      </c>
      <c r="G341" s="259">
        <v>19</v>
      </c>
      <c r="H341" s="385" t="s">
        <v>195</v>
      </c>
      <c r="I341" s="259">
        <v>1905</v>
      </c>
      <c r="J341" s="325" t="s">
        <v>847</v>
      </c>
      <c r="K341" s="259">
        <v>1905019</v>
      </c>
      <c r="L341" s="325" t="s">
        <v>853</v>
      </c>
      <c r="M341" s="272">
        <v>190501900</v>
      </c>
      <c r="N341" s="460" t="s">
        <v>294</v>
      </c>
      <c r="O341" s="272" t="s">
        <v>67</v>
      </c>
      <c r="P341" s="280">
        <v>20</v>
      </c>
      <c r="Q341" s="280">
        <v>0</v>
      </c>
      <c r="R341" s="281">
        <v>2024003630122</v>
      </c>
      <c r="S341" s="325" t="s">
        <v>855</v>
      </c>
      <c r="T341" s="328"/>
      <c r="U341" s="328"/>
      <c r="V341" s="328"/>
      <c r="W341" s="328"/>
      <c r="X341" s="328"/>
      <c r="Y341" s="328"/>
      <c r="Z341" s="328">
        <v>7400000</v>
      </c>
      <c r="AA341" s="328">
        <v>4933333</v>
      </c>
      <c r="AB341" s="328">
        <v>0</v>
      </c>
      <c r="AC341" s="328"/>
      <c r="AD341" s="328"/>
      <c r="AE341" s="328"/>
      <c r="AF341" s="328"/>
      <c r="AG341" s="328"/>
      <c r="AH341" s="328"/>
      <c r="AI341" s="328"/>
      <c r="AJ341" s="328"/>
      <c r="AK341" s="328"/>
      <c r="AL341" s="328"/>
      <c r="AM341" s="328"/>
      <c r="AN341" s="328"/>
      <c r="AO341" s="328"/>
      <c r="AP341" s="328"/>
      <c r="AQ341" s="328"/>
      <c r="AR341" s="328"/>
      <c r="AS341" s="328"/>
      <c r="AT341" s="328"/>
      <c r="AU341" s="328">
        <f t="shared" si="20"/>
        <v>7400000</v>
      </c>
      <c r="AV341" s="328">
        <f t="shared" si="21"/>
        <v>4933333</v>
      </c>
      <c r="AW341" s="328">
        <f t="shared" si="22"/>
        <v>0</v>
      </c>
      <c r="AX341" s="330" t="s">
        <v>795</v>
      </c>
      <c r="AY341" s="331"/>
      <c r="AZ341" s="331"/>
      <c r="BA341" s="331"/>
      <c r="BB341" s="331"/>
      <c r="BC341" s="331"/>
      <c r="BD341" s="331"/>
      <c r="BE341" s="331"/>
      <c r="BF341" s="331"/>
      <c r="BG341" s="331"/>
      <c r="BH341" s="331"/>
      <c r="BI341" s="331"/>
      <c r="BJ341" s="331"/>
      <c r="BK341" s="331"/>
      <c r="BL341" s="331"/>
      <c r="BM341" s="331"/>
      <c r="BN341" s="331"/>
      <c r="BO341" s="331"/>
      <c r="BP341" s="331"/>
      <c r="BQ341" s="331"/>
      <c r="BR341" s="331"/>
      <c r="BS341" s="331"/>
      <c r="BT341" s="331"/>
      <c r="BU341" s="331"/>
      <c r="BV341" s="331"/>
      <c r="BW341" s="331"/>
      <c r="BX341" s="331"/>
      <c r="BY341" s="331"/>
      <c r="BZ341" s="331"/>
      <c r="CA341" s="331"/>
      <c r="CB341" s="331"/>
      <c r="CC341" s="331"/>
      <c r="CD341" s="331"/>
      <c r="CE341" s="331"/>
      <c r="CF341" s="331"/>
      <c r="CG341" s="331"/>
      <c r="CH341" s="331"/>
      <c r="CI341" s="331"/>
      <c r="CJ341" s="331"/>
      <c r="CK341" s="331"/>
      <c r="CL341" s="331"/>
      <c r="CM341" s="331"/>
      <c r="CN341" s="331"/>
      <c r="CO341" s="331"/>
      <c r="CP341" s="331"/>
      <c r="CQ341" s="331"/>
      <c r="CR341" s="331"/>
      <c r="CS341" s="331"/>
      <c r="CT341" s="331"/>
      <c r="CU341" s="331"/>
      <c r="CV341" s="331"/>
      <c r="CW341" s="331"/>
      <c r="CX341" s="331"/>
      <c r="CY341" s="331"/>
      <c r="CZ341" s="331"/>
      <c r="DA341" s="331"/>
      <c r="DB341" s="331"/>
      <c r="DC341" s="331"/>
      <c r="DD341" s="331"/>
      <c r="DE341" s="331"/>
      <c r="DF341" s="331"/>
      <c r="DG341" s="331"/>
      <c r="DH341" s="331"/>
      <c r="DI341" s="331"/>
      <c r="DJ341" s="331"/>
      <c r="DK341" s="331"/>
      <c r="DL341" s="331"/>
      <c r="DM341" s="331"/>
      <c r="DN341" s="331"/>
      <c r="DO341" s="331"/>
      <c r="DP341" s="331"/>
      <c r="DQ341" s="331"/>
      <c r="DR341" s="331"/>
      <c r="DS341" s="331"/>
      <c r="DT341" s="331"/>
      <c r="DU341" s="331"/>
      <c r="DV341" s="331"/>
      <c r="DW341" s="331"/>
      <c r="DX341" s="331"/>
      <c r="DY341" s="331"/>
    </row>
    <row r="342" spans="1:129" s="332" customFormat="1" ht="76.5" x14ac:dyDescent="0.25">
      <c r="A342" s="259">
        <v>318</v>
      </c>
      <c r="B342" s="325" t="s">
        <v>791</v>
      </c>
      <c r="C342" s="259"/>
      <c r="D342" s="325"/>
      <c r="E342" s="259">
        <v>1</v>
      </c>
      <c r="F342" s="325" t="s">
        <v>112</v>
      </c>
      <c r="G342" s="259">
        <v>19</v>
      </c>
      <c r="H342" s="385" t="s">
        <v>195</v>
      </c>
      <c r="I342" s="259">
        <v>1905</v>
      </c>
      <c r="J342" s="325" t="s">
        <v>847</v>
      </c>
      <c r="K342" s="259">
        <v>1905035</v>
      </c>
      <c r="L342" s="325" t="s">
        <v>856</v>
      </c>
      <c r="M342" s="272">
        <v>190503500</v>
      </c>
      <c r="N342" s="460" t="s">
        <v>857</v>
      </c>
      <c r="O342" s="272" t="s">
        <v>67</v>
      </c>
      <c r="P342" s="302">
        <v>2428</v>
      </c>
      <c r="Q342" s="302">
        <v>0</v>
      </c>
      <c r="R342" s="281">
        <v>2024003630122</v>
      </c>
      <c r="S342" s="325" t="s">
        <v>855</v>
      </c>
      <c r="T342" s="328"/>
      <c r="U342" s="328"/>
      <c r="V342" s="328"/>
      <c r="W342" s="328"/>
      <c r="X342" s="328"/>
      <c r="Y342" s="328"/>
      <c r="Z342" s="328">
        <v>74813856</v>
      </c>
      <c r="AA342" s="328"/>
      <c r="AB342" s="328"/>
      <c r="AC342" s="328"/>
      <c r="AD342" s="328"/>
      <c r="AE342" s="328"/>
      <c r="AF342" s="328"/>
      <c r="AG342" s="328"/>
      <c r="AH342" s="328"/>
      <c r="AI342" s="328"/>
      <c r="AJ342" s="328"/>
      <c r="AK342" s="328"/>
      <c r="AL342" s="328"/>
      <c r="AM342" s="328"/>
      <c r="AN342" s="328"/>
      <c r="AO342" s="328"/>
      <c r="AP342" s="328"/>
      <c r="AQ342" s="328"/>
      <c r="AR342" s="328"/>
      <c r="AS342" s="328"/>
      <c r="AT342" s="328"/>
      <c r="AU342" s="328">
        <f t="shared" si="20"/>
        <v>74813856</v>
      </c>
      <c r="AV342" s="328">
        <f t="shared" si="21"/>
        <v>0</v>
      </c>
      <c r="AW342" s="328">
        <f t="shared" si="22"/>
        <v>0</v>
      </c>
      <c r="AX342" s="330" t="s">
        <v>795</v>
      </c>
      <c r="AY342" s="331"/>
      <c r="AZ342" s="331"/>
      <c r="BA342" s="331"/>
      <c r="BB342" s="331"/>
      <c r="BC342" s="331"/>
      <c r="BD342" s="331"/>
      <c r="BE342" s="331"/>
      <c r="BF342" s="331"/>
      <c r="BG342" s="331"/>
      <c r="BH342" s="331"/>
      <c r="BI342" s="331"/>
      <c r="BJ342" s="331"/>
      <c r="BK342" s="331"/>
      <c r="BL342" s="331"/>
      <c r="BM342" s="331"/>
      <c r="BN342" s="331"/>
      <c r="BO342" s="331"/>
      <c r="BP342" s="331"/>
      <c r="BQ342" s="331"/>
      <c r="BR342" s="331"/>
      <c r="BS342" s="331"/>
      <c r="BT342" s="331"/>
      <c r="BU342" s="331"/>
      <c r="BV342" s="331"/>
      <c r="BW342" s="331"/>
      <c r="BX342" s="331"/>
      <c r="BY342" s="331"/>
      <c r="BZ342" s="331"/>
      <c r="CA342" s="331"/>
      <c r="CB342" s="331"/>
      <c r="CC342" s="331"/>
      <c r="CD342" s="331"/>
      <c r="CE342" s="331"/>
      <c r="CF342" s="331"/>
      <c r="CG342" s="331"/>
      <c r="CH342" s="331"/>
      <c r="CI342" s="331"/>
      <c r="CJ342" s="331"/>
      <c r="CK342" s="331"/>
      <c r="CL342" s="331"/>
      <c r="CM342" s="331"/>
      <c r="CN342" s="331"/>
      <c r="CO342" s="331"/>
      <c r="CP342" s="331"/>
      <c r="CQ342" s="331"/>
      <c r="CR342" s="331"/>
      <c r="CS342" s="331"/>
      <c r="CT342" s="331"/>
      <c r="CU342" s="331"/>
      <c r="CV342" s="331"/>
      <c r="CW342" s="331"/>
      <c r="CX342" s="331"/>
      <c r="CY342" s="331"/>
      <c r="CZ342" s="331"/>
      <c r="DA342" s="331"/>
      <c r="DB342" s="331"/>
      <c r="DC342" s="331"/>
      <c r="DD342" s="331"/>
      <c r="DE342" s="331"/>
      <c r="DF342" s="331"/>
      <c r="DG342" s="331"/>
      <c r="DH342" s="331"/>
      <c r="DI342" s="331"/>
      <c r="DJ342" s="331"/>
      <c r="DK342" s="331"/>
      <c r="DL342" s="331"/>
      <c r="DM342" s="331"/>
      <c r="DN342" s="331"/>
      <c r="DO342" s="331"/>
      <c r="DP342" s="331"/>
      <c r="DQ342" s="331"/>
      <c r="DR342" s="331"/>
      <c r="DS342" s="331"/>
      <c r="DT342" s="331"/>
      <c r="DU342" s="331"/>
      <c r="DV342" s="331"/>
      <c r="DW342" s="331"/>
      <c r="DX342" s="331"/>
      <c r="DY342" s="331"/>
    </row>
    <row r="343" spans="1:129" s="332" customFormat="1" ht="102" x14ac:dyDescent="0.25">
      <c r="A343" s="259">
        <v>318</v>
      </c>
      <c r="B343" s="325" t="s">
        <v>791</v>
      </c>
      <c r="C343" s="259"/>
      <c r="D343" s="325"/>
      <c r="E343" s="259">
        <v>1</v>
      </c>
      <c r="F343" s="325" t="s">
        <v>112</v>
      </c>
      <c r="G343" s="259">
        <v>19</v>
      </c>
      <c r="H343" s="385" t="s">
        <v>195</v>
      </c>
      <c r="I343" s="259">
        <v>1905</v>
      </c>
      <c r="J343" s="325" t="s">
        <v>847</v>
      </c>
      <c r="K343" s="259">
        <v>1905026</v>
      </c>
      <c r="L343" s="325" t="s">
        <v>858</v>
      </c>
      <c r="M343" s="272">
        <v>190502600</v>
      </c>
      <c r="N343" s="333" t="s">
        <v>859</v>
      </c>
      <c r="O343" s="272" t="s">
        <v>26</v>
      </c>
      <c r="P343" s="280">
        <v>5</v>
      </c>
      <c r="Q343" s="280">
        <v>0</v>
      </c>
      <c r="R343" s="281">
        <v>2024003630122</v>
      </c>
      <c r="S343" s="325" t="s">
        <v>855</v>
      </c>
      <c r="T343" s="328"/>
      <c r="U343" s="328"/>
      <c r="V343" s="328"/>
      <c r="W343" s="328"/>
      <c r="X343" s="328"/>
      <c r="Y343" s="328"/>
      <c r="Z343" s="328">
        <f>99963557.26+0.27</f>
        <v>99963557.530000001</v>
      </c>
      <c r="AA343" s="328"/>
      <c r="AB343" s="328"/>
      <c r="AC343" s="328"/>
      <c r="AD343" s="328"/>
      <c r="AE343" s="328"/>
      <c r="AF343" s="328"/>
      <c r="AG343" s="328"/>
      <c r="AH343" s="328"/>
      <c r="AI343" s="328"/>
      <c r="AJ343" s="328"/>
      <c r="AK343" s="328"/>
      <c r="AL343" s="328"/>
      <c r="AM343" s="328"/>
      <c r="AN343" s="328"/>
      <c r="AO343" s="328"/>
      <c r="AP343" s="328"/>
      <c r="AQ343" s="328"/>
      <c r="AR343" s="328">
        <v>333000000</v>
      </c>
      <c r="AS343" s="328">
        <v>71707693</v>
      </c>
      <c r="AT343" s="328">
        <v>64028593</v>
      </c>
      <c r="AU343" s="328">
        <f t="shared" si="20"/>
        <v>432963557.52999997</v>
      </c>
      <c r="AV343" s="328">
        <f t="shared" si="21"/>
        <v>71707693</v>
      </c>
      <c r="AW343" s="328">
        <f t="shared" si="22"/>
        <v>64028593</v>
      </c>
      <c r="AX343" s="330" t="s">
        <v>795</v>
      </c>
      <c r="AY343" s="331"/>
      <c r="AZ343" s="331"/>
      <c r="BA343" s="331"/>
      <c r="BB343" s="331"/>
      <c r="BC343" s="331"/>
      <c r="BD343" s="331"/>
      <c r="BE343" s="331"/>
      <c r="BF343" s="331"/>
      <c r="BG343" s="331"/>
      <c r="BH343" s="331"/>
      <c r="BI343" s="331"/>
      <c r="BJ343" s="331"/>
      <c r="BK343" s="331"/>
      <c r="BL343" s="331"/>
      <c r="BM343" s="331"/>
      <c r="BN343" s="331"/>
      <c r="BO343" s="331"/>
      <c r="BP343" s="331"/>
      <c r="BQ343" s="331"/>
      <c r="BR343" s="331"/>
      <c r="BS343" s="331"/>
      <c r="BT343" s="331"/>
      <c r="BU343" s="331"/>
      <c r="BV343" s="331"/>
      <c r="BW343" s="331"/>
      <c r="BX343" s="331"/>
      <c r="BY343" s="331"/>
      <c r="BZ343" s="331"/>
      <c r="CA343" s="331"/>
      <c r="CB343" s="331"/>
      <c r="CC343" s="331"/>
      <c r="CD343" s="331"/>
      <c r="CE343" s="331"/>
      <c r="CF343" s="331"/>
      <c r="CG343" s="331"/>
      <c r="CH343" s="331"/>
      <c r="CI343" s="331"/>
      <c r="CJ343" s="331"/>
      <c r="CK343" s="331"/>
      <c r="CL343" s="331"/>
      <c r="CM343" s="331"/>
      <c r="CN343" s="331"/>
      <c r="CO343" s="331"/>
      <c r="CP343" s="331"/>
      <c r="CQ343" s="331"/>
      <c r="CR343" s="331"/>
      <c r="CS343" s="331"/>
      <c r="CT343" s="331"/>
      <c r="CU343" s="331"/>
      <c r="CV343" s="331"/>
      <c r="CW343" s="331"/>
      <c r="CX343" s="331"/>
      <c r="CY343" s="331"/>
      <c r="CZ343" s="331"/>
      <c r="DA343" s="331"/>
      <c r="DB343" s="331"/>
      <c r="DC343" s="331"/>
      <c r="DD343" s="331"/>
      <c r="DE343" s="331"/>
      <c r="DF343" s="331"/>
      <c r="DG343" s="331"/>
      <c r="DH343" s="331"/>
      <c r="DI343" s="331"/>
      <c r="DJ343" s="331"/>
      <c r="DK343" s="331"/>
      <c r="DL343" s="331"/>
      <c r="DM343" s="331"/>
      <c r="DN343" s="331"/>
      <c r="DO343" s="331"/>
      <c r="DP343" s="331"/>
      <c r="DQ343" s="331"/>
      <c r="DR343" s="331"/>
      <c r="DS343" s="331"/>
      <c r="DT343" s="331"/>
      <c r="DU343" s="331"/>
      <c r="DV343" s="331"/>
      <c r="DW343" s="331"/>
      <c r="DX343" s="331"/>
      <c r="DY343" s="331"/>
    </row>
    <row r="344" spans="1:129" s="332" customFormat="1" ht="102" x14ac:dyDescent="0.25">
      <c r="A344" s="259">
        <v>318</v>
      </c>
      <c r="B344" s="325" t="s">
        <v>791</v>
      </c>
      <c r="C344" s="259"/>
      <c r="D344" s="325"/>
      <c r="E344" s="259">
        <v>1</v>
      </c>
      <c r="F344" s="325" t="s">
        <v>112</v>
      </c>
      <c r="G344" s="259">
        <v>19</v>
      </c>
      <c r="H344" s="385" t="s">
        <v>195</v>
      </c>
      <c r="I344" s="259">
        <v>1905</v>
      </c>
      <c r="J344" s="325" t="s">
        <v>847</v>
      </c>
      <c r="K344" s="259">
        <v>1905024</v>
      </c>
      <c r="L344" s="325" t="s">
        <v>860</v>
      </c>
      <c r="M344" s="272">
        <v>190502402</v>
      </c>
      <c r="N344" s="272" t="s">
        <v>861</v>
      </c>
      <c r="O344" s="272" t="s">
        <v>26</v>
      </c>
      <c r="P344" s="280">
        <v>11</v>
      </c>
      <c r="Q344" s="280">
        <v>4</v>
      </c>
      <c r="R344" s="281">
        <v>2024003630122</v>
      </c>
      <c r="S344" s="325" t="s">
        <v>855</v>
      </c>
      <c r="T344" s="328"/>
      <c r="U344" s="328"/>
      <c r="V344" s="328"/>
      <c r="W344" s="328"/>
      <c r="X344" s="328"/>
      <c r="Y344" s="328"/>
      <c r="Z344" s="328">
        <v>48720000</v>
      </c>
      <c r="AA344" s="328">
        <v>27866666</v>
      </c>
      <c r="AB344" s="328">
        <v>10100000</v>
      </c>
      <c r="AC344" s="328"/>
      <c r="AD344" s="328"/>
      <c r="AE344" s="328"/>
      <c r="AF344" s="328"/>
      <c r="AG344" s="328"/>
      <c r="AH344" s="328"/>
      <c r="AI344" s="328"/>
      <c r="AJ344" s="328"/>
      <c r="AK344" s="328"/>
      <c r="AL344" s="328"/>
      <c r="AM344" s="328"/>
      <c r="AN344" s="328"/>
      <c r="AO344" s="328"/>
      <c r="AP344" s="328"/>
      <c r="AQ344" s="328"/>
      <c r="AR344" s="328"/>
      <c r="AS344" s="328"/>
      <c r="AT344" s="328"/>
      <c r="AU344" s="328">
        <f t="shared" si="20"/>
        <v>48720000</v>
      </c>
      <c r="AV344" s="328">
        <f t="shared" si="21"/>
        <v>27866666</v>
      </c>
      <c r="AW344" s="328">
        <f t="shared" si="22"/>
        <v>10100000</v>
      </c>
      <c r="AX344" s="330" t="s">
        <v>795</v>
      </c>
      <c r="AY344" s="331"/>
      <c r="AZ344" s="331"/>
      <c r="BA344" s="331"/>
      <c r="BB344" s="331"/>
      <c r="BC344" s="331"/>
      <c r="BD344" s="331"/>
      <c r="BE344" s="331"/>
      <c r="BF344" s="331"/>
      <c r="BG344" s="331"/>
      <c r="BH344" s="331"/>
      <c r="BI344" s="331"/>
      <c r="BJ344" s="331"/>
      <c r="BK344" s="331"/>
      <c r="BL344" s="331"/>
      <c r="BM344" s="331"/>
      <c r="BN344" s="331"/>
      <c r="BO344" s="331"/>
      <c r="BP344" s="331"/>
      <c r="BQ344" s="331"/>
      <c r="BR344" s="331"/>
      <c r="BS344" s="331"/>
      <c r="BT344" s="331"/>
      <c r="BU344" s="331"/>
      <c r="BV344" s="331"/>
      <c r="BW344" s="331"/>
      <c r="BX344" s="331"/>
      <c r="BY344" s="331"/>
      <c r="BZ344" s="331"/>
      <c r="CA344" s="331"/>
      <c r="CB344" s="331"/>
      <c r="CC344" s="331"/>
      <c r="CD344" s="331"/>
      <c r="CE344" s="331"/>
      <c r="CF344" s="331"/>
      <c r="CG344" s="331"/>
      <c r="CH344" s="331"/>
      <c r="CI344" s="331"/>
      <c r="CJ344" s="331"/>
      <c r="CK344" s="331"/>
      <c r="CL344" s="331"/>
      <c r="CM344" s="331"/>
      <c r="CN344" s="331"/>
      <c r="CO344" s="331"/>
      <c r="CP344" s="331"/>
      <c r="CQ344" s="331"/>
      <c r="CR344" s="331"/>
      <c r="CS344" s="331"/>
      <c r="CT344" s="331"/>
      <c r="CU344" s="331"/>
      <c r="CV344" s="331"/>
      <c r="CW344" s="331"/>
      <c r="CX344" s="331"/>
      <c r="CY344" s="331"/>
      <c r="CZ344" s="331"/>
      <c r="DA344" s="331"/>
      <c r="DB344" s="331"/>
      <c r="DC344" s="331"/>
      <c r="DD344" s="331"/>
      <c r="DE344" s="331"/>
      <c r="DF344" s="331"/>
      <c r="DG344" s="331"/>
      <c r="DH344" s="331"/>
      <c r="DI344" s="331"/>
      <c r="DJ344" s="331"/>
      <c r="DK344" s="331"/>
      <c r="DL344" s="331"/>
      <c r="DM344" s="331"/>
      <c r="DN344" s="331"/>
      <c r="DO344" s="331"/>
      <c r="DP344" s="331"/>
      <c r="DQ344" s="331"/>
      <c r="DR344" s="331"/>
      <c r="DS344" s="331"/>
      <c r="DT344" s="331"/>
      <c r="DU344" s="331"/>
      <c r="DV344" s="331"/>
      <c r="DW344" s="331"/>
      <c r="DX344" s="331"/>
      <c r="DY344" s="331"/>
    </row>
    <row r="345" spans="1:129" s="332" customFormat="1" ht="89.25" x14ac:dyDescent="0.25">
      <c r="A345" s="259">
        <v>318</v>
      </c>
      <c r="B345" s="325" t="s">
        <v>791</v>
      </c>
      <c r="C345" s="259"/>
      <c r="D345" s="325"/>
      <c r="E345" s="259">
        <v>1</v>
      </c>
      <c r="F345" s="325" t="s">
        <v>112</v>
      </c>
      <c r="G345" s="259">
        <v>19</v>
      </c>
      <c r="H345" s="385" t="s">
        <v>195</v>
      </c>
      <c r="I345" s="259">
        <v>1905</v>
      </c>
      <c r="J345" s="325" t="s">
        <v>847</v>
      </c>
      <c r="K345" s="259">
        <v>1905043</v>
      </c>
      <c r="L345" s="325" t="s">
        <v>862</v>
      </c>
      <c r="M345" s="272">
        <v>190504300</v>
      </c>
      <c r="N345" s="333" t="s">
        <v>863</v>
      </c>
      <c r="O345" s="272" t="s">
        <v>26</v>
      </c>
      <c r="P345" s="280">
        <v>12</v>
      </c>
      <c r="Q345" s="280">
        <v>3</v>
      </c>
      <c r="R345" s="281">
        <v>2024003630122</v>
      </c>
      <c r="S345" s="325" t="s">
        <v>855</v>
      </c>
      <c r="T345" s="328"/>
      <c r="U345" s="328"/>
      <c r="V345" s="328"/>
      <c r="W345" s="328"/>
      <c r="X345" s="328"/>
      <c r="Y345" s="328"/>
      <c r="Z345" s="328">
        <v>58720000</v>
      </c>
      <c r="AA345" s="328">
        <v>26666666</v>
      </c>
      <c r="AB345" s="328">
        <v>16000000</v>
      </c>
      <c r="AC345" s="328"/>
      <c r="AD345" s="328"/>
      <c r="AE345" s="328"/>
      <c r="AF345" s="328"/>
      <c r="AG345" s="328"/>
      <c r="AH345" s="328"/>
      <c r="AI345" s="328"/>
      <c r="AJ345" s="328"/>
      <c r="AK345" s="328"/>
      <c r="AL345" s="328"/>
      <c r="AM345" s="328"/>
      <c r="AN345" s="328"/>
      <c r="AO345" s="328"/>
      <c r="AP345" s="328"/>
      <c r="AQ345" s="328"/>
      <c r="AR345" s="328"/>
      <c r="AS345" s="328"/>
      <c r="AT345" s="328"/>
      <c r="AU345" s="328">
        <f t="shared" si="20"/>
        <v>58720000</v>
      </c>
      <c r="AV345" s="328">
        <f t="shared" si="21"/>
        <v>26666666</v>
      </c>
      <c r="AW345" s="328">
        <f t="shared" si="22"/>
        <v>16000000</v>
      </c>
      <c r="AX345" s="330" t="s">
        <v>795</v>
      </c>
      <c r="AY345" s="331"/>
      <c r="AZ345" s="331"/>
      <c r="BA345" s="331"/>
      <c r="BB345" s="331"/>
      <c r="BC345" s="331"/>
      <c r="BD345" s="331"/>
      <c r="BE345" s="331"/>
      <c r="BF345" s="331"/>
      <c r="BG345" s="331"/>
      <c r="BH345" s="331"/>
      <c r="BI345" s="331"/>
      <c r="BJ345" s="331"/>
      <c r="BK345" s="331"/>
      <c r="BL345" s="331"/>
      <c r="BM345" s="331"/>
      <c r="BN345" s="331"/>
      <c r="BO345" s="331"/>
      <c r="BP345" s="331"/>
      <c r="BQ345" s="331"/>
      <c r="BR345" s="331"/>
      <c r="BS345" s="331"/>
      <c r="BT345" s="331"/>
      <c r="BU345" s="331"/>
      <c r="BV345" s="331"/>
      <c r="BW345" s="331"/>
      <c r="BX345" s="331"/>
      <c r="BY345" s="331"/>
      <c r="BZ345" s="331"/>
      <c r="CA345" s="331"/>
      <c r="CB345" s="331"/>
      <c r="CC345" s="331"/>
      <c r="CD345" s="331"/>
      <c r="CE345" s="331"/>
      <c r="CF345" s="331"/>
      <c r="CG345" s="331"/>
      <c r="CH345" s="331"/>
      <c r="CI345" s="331"/>
      <c r="CJ345" s="331"/>
      <c r="CK345" s="331"/>
      <c r="CL345" s="331"/>
      <c r="CM345" s="331"/>
      <c r="CN345" s="331"/>
      <c r="CO345" s="331"/>
      <c r="CP345" s="331"/>
      <c r="CQ345" s="331"/>
      <c r="CR345" s="331"/>
      <c r="CS345" s="331"/>
      <c r="CT345" s="331"/>
      <c r="CU345" s="331"/>
      <c r="CV345" s="331"/>
      <c r="CW345" s="331"/>
      <c r="CX345" s="331"/>
      <c r="CY345" s="331"/>
      <c r="CZ345" s="331"/>
      <c r="DA345" s="331"/>
      <c r="DB345" s="331"/>
      <c r="DC345" s="331"/>
      <c r="DD345" s="331"/>
      <c r="DE345" s="331"/>
      <c r="DF345" s="331"/>
      <c r="DG345" s="331"/>
      <c r="DH345" s="331"/>
      <c r="DI345" s="331"/>
      <c r="DJ345" s="331"/>
      <c r="DK345" s="331"/>
      <c r="DL345" s="331"/>
      <c r="DM345" s="331"/>
      <c r="DN345" s="331"/>
      <c r="DO345" s="331"/>
      <c r="DP345" s="331"/>
      <c r="DQ345" s="331"/>
      <c r="DR345" s="331"/>
      <c r="DS345" s="331"/>
      <c r="DT345" s="331"/>
      <c r="DU345" s="331"/>
      <c r="DV345" s="331"/>
      <c r="DW345" s="331"/>
      <c r="DX345" s="331"/>
      <c r="DY345" s="331"/>
    </row>
    <row r="346" spans="1:129" s="332" customFormat="1" ht="76.5" x14ac:dyDescent="0.25">
      <c r="A346" s="259">
        <v>318</v>
      </c>
      <c r="B346" s="325" t="s">
        <v>791</v>
      </c>
      <c r="C346" s="259"/>
      <c r="D346" s="325"/>
      <c r="E346" s="259">
        <v>1</v>
      </c>
      <c r="F346" s="325" t="s">
        <v>112</v>
      </c>
      <c r="G346" s="259">
        <v>19</v>
      </c>
      <c r="H346" s="385" t="s">
        <v>195</v>
      </c>
      <c r="I346" s="259">
        <v>1905</v>
      </c>
      <c r="J346" s="325" t="s">
        <v>847</v>
      </c>
      <c r="K346" s="259">
        <v>1905054</v>
      </c>
      <c r="L346" s="325" t="s">
        <v>864</v>
      </c>
      <c r="M346" s="272">
        <v>190505406</v>
      </c>
      <c r="N346" s="333" t="s">
        <v>865</v>
      </c>
      <c r="O346" s="272" t="s">
        <v>26</v>
      </c>
      <c r="P346" s="280">
        <v>11</v>
      </c>
      <c r="Q346" s="280">
        <v>6</v>
      </c>
      <c r="R346" s="281">
        <v>2024003630122</v>
      </c>
      <c r="S346" s="325" t="s">
        <v>855</v>
      </c>
      <c r="T346" s="328"/>
      <c r="U346" s="328"/>
      <c r="V346" s="328"/>
      <c r="W346" s="328"/>
      <c r="X346" s="328"/>
      <c r="Y346" s="328"/>
      <c r="Z346" s="328">
        <v>40000000</v>
      </c>
      <c r="AA346" s="328"/>
      <c r="AB346" s="328"/>
      <c r="AC346" s="328"/>
      <c r="AD346" s="328"/>
      <c r="AE346" s="328"/>
      <c r="AF346" s="328"/>
      <c r="AG346" s="328"/>
      <c r="AH346" s="328"/>
      <c r="AI346" s="328"/>
      <c r="AJ346" s="328"/>
      <c r="AK346" s="328"/>
      <c r="AL346" s="328"/>
      <c r="AM346" s="328"/>
      <c r="AN346" s="328"/>
      <c r="AO346" s="328"/>
      <c r="AP346" s="328"/>
      <c r="AQ346" s="328"/>
      <c r="AR346" s="328"/>
      <c r="AS346" s="328"/>
      <c r="AT346" s="328"/>
      <c r="AU346" s="328">
        <f t="shared" si="20"/>
        <v>40000000</v>
      </c>
      <c r="AV346" s="328">
        <f t="shared" si="21"/>
        <v>0</v>
      </c>
      <c r="AW346" s="328">
        <f t="shared" si="22"/>
        <v>0</v>
      </c>
      <c r="AX346" s="330" t="s">
        <v>795</v>
      </c>
      <c r="AY346" s="331"/>
      <c r="AZ346" s="331"/>
      <c r="BA346" s="331"/>
      <c r="BB346" s="331"/>
      <c r="BC346" s="331"/>
      <c r="BD346" s="331"/>
      <c r="BE346" s="331"/>
      <c r="BF346" s="331"/>
      <c r="BG346" s="331"/>
      <c r="BH346" s="331"/>
      <c r="BI346" s="331"/>
      <c r="BJ346" s="331"/>
      <c r="BK346" s="331"/>
      <c r="BL346" s="331"/>
      <c r="BM346" s="331"/>
      <c r="BN346" s="331"/>
      <c r="BO346" s="331"/>
      <c r="BP346" s="331"/>
      <c r="BQ346" s="331"/>
      <c r="BR346" s="331"/>
      <c r="BS346" s="331"/>
      <c r="BT346" s="331"/>
      <c r="BU346" s="331"/>
      <c r="BV346" s="331"/>
      <c r="BW346" s="331"/>
      <c r="BX346" s="331"/>
      <c r="BY346" s="331"/>
      <c r="BZ346" s="331"/>
      <c r="CA346" s="331"/>
      <c r="CB346" s="331"/>
      <c r="CC346" s="331"/>
      <c r="CD346" s="331"/>
      <c r="CE346" s="331"/>
      <c r="CF346" s="331"/>
      <c r="CG346" s="331"/>
      <c r="CH346" s="331"/>
      <c r="CI346" s="331"/>
      <c r="CJ346" s="331"/>
      <c r="CK346" s="331"/>
      <c r="CL346" s="331"/>
      <c r="CM346" s="331"/>
      <c r="CN346" s="331"/>
      <c r="CO346" s="331"/>
      <c r="CP346" s="331"/>
      <c r="CQ346" s="331"/>
      <c r="CR346" s="331"/>
      <c r="CS346" s="331"/>
      <c r="CT346" s="331"/>
      <c r="CU346" s="331"/>
      <c r="CV346" s="331"/>
      <c r="CW346" s="331"/>
      <c r="CX346" s="331"/>
      <c r="CY346" s="331"/>
      <c r="CZ346" s="331"/>
      <c r="DA346" s="331"/>
      <c r="DB346" s="331"/>
      <c r="DC346" s="331"/>
      <c r="DD346" s="331"/>
      <c r="DE346" s="331"/>
      <c r="DF346" s="331"/>
      <c r="DG346" s="331"/>
      <c r="DH346" s="331"/>
      <c r="DI346" s="331"/>
      <c r="DJ346" s="331"/>
      <c r="DK346" s="331"/>
      <c r="DL346" s="331"/>
      <c r="DM346" s="331"/>
      <c r="DN346" s="331"/>
      <c r="DO346" s="331"/>
      <c r="DP346" s="331"/>
      <c r="DQ346" s="331"/>
      <c r="DR346" s="331"/>
      <c r="DS346" s="331"/>
      <c r="DT346" s="331"/>
      <c r="DU346" s="331"/>
      <c r="DV346" s="331"/>
      <c r="DW346" s="331"/>
      <c r="DX346" s="331"/>
      <c r="DY346" s="331"/>
    </row>
    <row r="347" spans="1:129" s="332" customFormat="1" ht="89.25" x14ac:dyDescent="0.25">
      <c r="A347" s="259">
        <v>318</v>
      </c>
      <c r="B347" s="325" t="s">
        <v>791</v>
      </c>
      <c r="C347" s="259"/>
      <c r="D347" s="325"/>
      <c r="E347" s="259">
        <v>1</v>
      </c>
      <c r="F347" s="325" t="s">
        <v>112</v>
      </c>
      <c r="G347" s="259">
        <v>19</v>
      </c>
      <c r="H347" s="385" t="s">
        <v>195</v>
      </c>
      <c r="I347" s="259">
        <v>1905</v>
      </c>
      <c r="J347" s="325" t="s">
        <v>847</v>
      </c>
      <c r="K347" s="259">
        <v>1905054</v>
      </c>
      <c r="L347" s="325" t="s">
        <v>864</v>
      </c>
      <c r="M347" s="272">
        <v>190505407</v>
      </c>
      <c r="N347" s="333" t="s">
        <v>866</v>
      </c>
      <c r="O347" s="272" t="s">
        <v>26</v>
      </c>
      <c r="P347" s="280">
        <v>11</v>
      </c>
      <c r="Q347" s="280">
        <v>7</v>
      </c>
      <c r="R347" s="281">
        <v>2024003630122</v>
      </c>
      <c r="S347" s="325" t="s">
        <v>855</v>
      </c>
      <c r="T347" s="328"/>
      <c r="U347" s="328"/>
      <c r="V347" s="328"/>
      <c r="W347" s="328"/>
      <c r="X347" s="328"/>
      <c r="Y347" s="328"/>
      <c r="Z347" s="328">
        <v>28600000</v>
      </c>
      <c r="AA347" s="328">
        <f>47983333-AA348</f>
        <v>26650000</v>
      </c>
      <c r="AB347" s="328">
        <v>22500000</v>
      </c>
      <c r="AC347" s="328"/>
      <c r="AD347" s="328"/>
      <c r="AE347" s="328"/>
      <c r="AF347" s="328"/>
      <c r="AG347" s="328"/>
      <c r="AH347" s="328"/>
      <c r="AI347" s="328"/>
      <c r="AJ347" s="328"/>
      <c r="AK347" s="328"/>
      <c r="AL347" s="328"/>
      <c r="AM347" s="328"/>
      <c r="AN347" s="328"/>
      <c r="AO347" s="328"/>
      <c r="AP347" s="328"/>
      <c r="AQ347" s="328"/>
      <c r="AR347" s="328"/>
      <c r="AS347" s="328"/>
      <c r="AT347" s="328"/>
      <c r="AU347" s="328">
        <f t="shared" ref="AU347:AU408" si="23">SUM(T347,W347,Z347,AC347,AF347,AI347,AL347,AO347,AR347)</f>
        <v>28600000</v>
      </c>
      <c r="AV347" s="328">
        <f t="shared" si="21"/>
        <v>26650000</v>
      </c>
      <c r="AW347" s="328">
        <f t="shared" si="22"/>
        <v>22500000</v>
      </c>
      <c r="AX347" s="330" t="s">
        <v>795</v>
      </c>
      <c r="AY347" s="331"/>
      <c r="AZ347" s="331"/>
      <c r="BA347" s="331"/>
      <c r="BB347" s="331"/>
      <c r="BC347" s="331"/>
      <c r="BD347" s="331"/>
      <c r="BE347" s="331"/>
      <c r="BF347" s="331"/>
      <c r="BG347" s="331"/>
      <c r="BH347" s="331"/>
      <c r="BI347" s="331"/>
      <c r="BJ347" s="331"/>
      <c r="BK347" s="331"/>
      <c r="BL347" s="331"/>
      <c r="BM347" s="331"/>
      <c r="BN347" s="331"/>
      <c r="BO347" s="331"/>
      <c r="BP347" s="331"/>
      <c r="BQ347" s="331"/>
      <c r="BR347" s="331"/>
      <c r="BS347" s="331"/>
      <c r="BT347" s="331"/>
      <c r="BU347" s="331"/>
      <c r="BV347" s="331"/>
      <c r="BW347" s="331"/>
      <c r="BX347" s="331"/>
      <c r="BY347" s="331"/>
      <c r="BZ347" s="331"/>
      <c r="CA347" s="331"/>
      <c r="CB347" s="331"/>
      <c r="CC347" s="331"/>
      <c r="CD347" s="331"/>
      <c r="CE347" s="331"/>
      <c r="CF347" s="331"/>
      <c r="CG347" s="331"/>
      <c r="CH347" s="331"/>
      <c r="CI347" s="331"/>
      <c r="CJ347" s="331"/>
      <c r="CK347" s="331"/>
      <c r="CL347" s="331"/>
      <c r="CM347" s="331"/>
      <c r="CN347" s="331"/>
      <c r="CO347" s="331"/>
      <c r="CP347" s="331"/>
      <c r="CQ347" s="331"/>
      <c r="CR347" s="331"/>
      <c r="CS347" s="331"/>
      <c r="CT347" s="331"/>
      <c r="CU347" s="331"/>
      <c r="CV347" s="331"/>
      <c r="CW347" s="331"/>
      <c r="CX347" s="331"/>
      <c r="CY347" s="331"/>
      <c r="CZ347" s="331"/>
      <c r="DA347" s="331"/>
      <c r="DB347" s="331"/>
      <c r="DC347" s="331"/>
      <c r="DD347" s="331"/>
      <c r="DE347" s="331"/>
      <c r="DF347" s="331"/>
      <c r="DG347" s="331"/>
      <c r="DH347" s="331"/>
      <c r="DI347" s="331"/>
      <c r="DJ347" s="331"/>
      <c r="DK347" s="331"/>
      <c r="DL347" s="331"/>
      <c r="DM347" s="331"/>
      <c r="DN347" s="331"/>
      <c r="DO347" s="331"/>
      <c r="DP347" s="331"/>
      <c r="DQ347" s="331"/>
      <c r="DR347" s="331"/>
      <c r="DS347" s="331"/>
      <c r="DT347" s="331"/>
      <c r="DU347" s="331"/>
      <c r="DV347" s="331"/>
      <c r="DW347" s="331"/>
      <c r="DX347" s="331"/>
      <c r="DY347" s="331"/>
    </row>
    <row r="348" spans="1:129" s="332" customFormat="1" ht="102" x14ac:dyDescent="0.25">
      <c r="A348" s="259">
        <v>318</v>
      </c>
      <c r="B348" s="325" t="s">
        <v>791</v>
      </c>
      <c r="C348" s="259"/>
      <c r="D348" s="325"/>
      <c r="E348" s="259">
        <v>1</v>
      </c>
      <c r="F348" s="325" t="s">
        <v>112</v>
      </c>
      <c r="G348" s="259">
        <v>19</v>
      </c>
      <c r="H348" s="385" t="s">
        <v>195</v>
      </c>
      <c r="I348" s="259">
        <v>1905</v>
      </c>
      <c r="J348" s="325" t="s">
        <v>847</v>
      </c>
      <c r="K348" s="259">
        <v>1905054</v>
      </c>
      <c r="L348" s="325" t="s">
        <v>864</v>
      </c>
      <c r="M348" s="272">
        <v>190505409</v>
      </c>
      <c r="N348" s="333" t="s">
        <v>867</v>
      </c>
      <c r="O348" s="272" t="s">
        <v>26</v>
      </c>
      <c r="P348" s="280">
        <v>12</v>
      </c>
      <c r="Q348" s="280">
        <v>5</v>
      </c>
      <c r="R348" s="281">
        <v>2024003630122</v>
      </c>
      <c r="S348" s="325" t="s">
        <v>855</v>
      </c>
      <c r="T348" s="328"/>
      <c r="U348" s="328"/>
      <c r="V348" s="328"/>
      <c r="W348" s="328"/>
      <c r="X348" s="328"/>
      <c r="Y348" s="328"/>
      <c r="Z348" s="328">
        <v>28720000</v>
      </c>
      <c r="AA348" s="328">
        <v>21333333</v>
      </c>
      <c r="AB348" s="328"/>
      <c r="AC348" s="328"/>
      <c r="AD348" s="328"/>
      <c r="AE348" s="328"/>
      <c r="AF348" s="328"/>
      <c r="AG348" s="328"/>
      <c r="AH348" s="328"/>
      <c r="AI348" s="328"/>
      <c r="AJ348" s="328"/>
      <c r="AK348" s="328"/>
      <c r="AL348" s="328"/>
      <c r="AM348" s="328"/>
      <c r="AN348" s="328"/>
      <c r="AO348" s="328"/>
      <c r="AP348" s="328"/>
      <c r="AQ348" s="328"/>
      <c r="AR348" s="328"/>
      <c r="AS348" s="328"/>
      <c r="AT348" s="328"/>
      <c r="AU348" s="328">
        <f t="shared" si="23"/>
        <v>28720000</v>
      </c>
      <c r="AV348" s="328">
        <f t="shared" si="21"/>
        <v>21333333</v>
      </c>
      <c r="AW348" s="328">
        <f t="shared" si="22"/>
        <v>0</v>
      </c>
      <c r="AX348" s="330" t="s">
        <v>795</v>
      </c>
      <c r="AY348" s="331"/>
      <c r="AZ348" s="331"/>
      <c r="BA348" s="331"/>
      <c r="BB348" s="331"/>
      <c r="BC348" s="331"/>
      <c r="BD348" s="331"/>
      <c r="BE348" s="331"/>
      <c r="BF348" s="331"/>
      <c r="BG348" s="331"/>
      <c r="BH348" s="331"/>
      <c r="BI348" s="331"/>
      <c r="BJ348" s="331"/>
      <c r="BK348" s="331"/>
      <c r="BL348" s="331"/>
      <c r="BM348" s="331"/>
      <c r="BN348" s="331"/>
      <c r="BO348" s="331"/>
      <c r="BP348" s="331"/>
      <c r="BQ348" s="331"/>
      <c r="BR348" s="331"/>
      <c r="BS348" s="331"/>
      <c r="BT348" s="331"/>
      <c r="BU348" s="331"/>
      <c r="BV348" s="331"/>
      <c r="BW348" s="331"/>
      <c r="BX348" s="331"/>
      <c r="BY348" s="331"/>
      <c r="BZ348" s="331"/>
      <c r="CA348" s="331"/>
      <c r="CB348" s="331"/>
      <c r="CC348" s="331"/>
      <c r="CD348" s="331"/>
      <c r="CE348" s="331"/>
      <c r="CF348" s="331"/>
      <c r="CG348" s="331"/>
      <c r="CH348" s="331"/>
      <c r="CI348" s="331"/>
      <c r="CJ348" s="331"/>
      <c r="CK348" s="331"/>
      <c r="CL348" s="331"/>
      <c r="CM348" s="331"/>
      <c r="CN348" s="331"/>
      <c r="CO348" s="331"/>
      <c r="CP348" s="331"/>
      <c r="CQ348" s="331"/>
      <c r="CR348" s="331"/>
      <c r="CS348" s="331"/>
      <c r="CT348" s="331"/>
      <c r="CU348" s="331"/>
      <c r="CV348" s="331"/>
      <c r="CW348" s="331"/>
      <c r="CX348" s="331"/>
      <c r="CY348" s="331"/>
      <c r="CZ348" s="331"/>
      <c r="DA348" s="331"/>
      <c r="DB348" s="331"/>
      <c r="DC348" s="331"/>
      <c r="DD348" s="331"/>
      <c r="DE348" s="331"/>
      <c r="DF348" s="331"/>
      <c r="DG348" s="331"/>
      <c r="DH348" s="331"/>
      <c r="DI348" s="331"/>
      <c r="DJ348" s="331"/>
      <c r="DK348" s="331"/>
      <c r="DL348" s="331"/>
      <c r="DM348" s="331"/>
      <c r="DN348" s="331"/>
      <c r="DO348" s="331"/>
      <c r="DP348" s="331"/>
      <c r="DQ348" s="331"/>
      <c r="DR348" s="331"/>
      <c r="DS348" s="331"/>
      <c r="DT348" s="331"/>
      <c r="DU348" s="331"/>
      <c r="DV348" s="331"/>
      <c r="DW348" s="331"/>
      <c r="DX348" s="331"/>
      <c r="DY348" s="331"/>
    </row>
    <row r="349" spans="1:129" s="459" customFormat="1" ht="114.75" x14ac:dyDescent="0.25">
      <c r="A349" s="292">
        <v>318</v>
      </c>
      <c r="B349" s="454" t="s">
        <v>791</v>
      </c>
      <c r="C349" s="292">
        <v>1</v>
      </c>
      <c r="D349" s="454" t="s">
        <v>105</v>
      </c>
      <c r="E349" s="292">
        <v>1</v>
      </c>
      <c r="F349" s="454" t="s">
        <v>112</v>
      </c>
      <c r="G349" s="292">
        <v>19</v>
      </c>
      <c r="H349" s="454" t="s">
        <v>195</v>
      </c>
      <c r="I349" s="292">
        <v>1905</v>
      </c>
      <c r="J349" s="454" t="s">
        <v>847</v>
      </c>
      <c r="K349" s="292">
        <v>1905031</v>
      </c>
      <c r="L349" s="454" t="s">
        <v>868</v>
      </c>
      <c r="M349" s="292">
        <v>190503100</v>
      </c>
      <c r="N349" s="453" t="s">
        <v>869</v>
      </c>
      <c r="O349" s="299" t="s">
        <v>26</v>
      </c>
      <c r="P349" s="299">
        <v>11</v>
      </c>
      <c r="Q349" s="299">
        <v>5</v>
      </c>
      <c r="R349" s="337">
        <v>2020003630123</v>
      </c>
      <c r="S349" s="458" t="s">
        <v>854</v>
      </c>
      <c r="T349" s="457"/>
      <c r="U349" s="457"/>
      <c r="V349" s="457"/>
      <c r="W349" s="457"/>
      <c r="X349" s="457"/>
      <c r="Y349" s="457"/>
      <c r="Z349" s="457">
        <f>60000000-52600000</f>
        <v>7400000</v>
      </c>
      <c r="AA349" s="457">
        <v>7400000</v>
      </c>
      <c r="AB349" s="457">
        <v>7400000</v>
      </c>
      <c r="AC349" s="457"/>
      <c r="AD349" s="457"/>
      <c r="AE349" s="457"/>
      <c r="AF349" s="457"/>
      <c r="AG349" s="457"/>
      <c r="AH349" s="457"/>
      <c r="AI349" s="457"/>
      <c r="AJ349" s="457"/>
      <c r="AK349" s="457"/>
      <c r="AL349" s="457">
        <f>150000000-136600000</f>
        <v>13400000</v>
      </c>
      <c r="AM349" s="457">
        <v>13400000</v>
      </c>
      <c r="AN349" s="457">
        <v>10400000</v>
      </c>
      <c r="AO349" s="457"/>
      <c r="AP349" s="457"/>
      <c r="AQ349" s="457"/>
      <c r="AR349" s="457"/>
      <c r="AS349" s="457"/>
      <c r="AT349" s="457"/>
      <c r="AU349" s="457">
        <f t="shared" si="23"/>
        <v>20800000</v>
      </c>
      <c r="AV349" s="457">
        <f t="shared" si="21"/>
        <v>20800000</v>
      </c>
      <c r="AW349" s="457">
        <f t="shared" si="22"/>
        <v>17800000</v>
      </c>
      <c r="AX349" s="475" t="s">
        <v>795</v>
      </c>
    </row>
    <row r="350" spans="1:129" s="459" customFormat="1" ht="38.25" x14ac:dyDescent="0.25">
      <c r="A350" s="292">
        <v>318</v>
      </c>
      <c r="B350" s="454" t="s">
        <v>791</v>
      </c>
      <c r="C350" s="292">
        <v>1</v>
      </c>
      <c r="D350" s="454" t="s">
        <v>105</v>
      </c>
      <c r="E350" s="292">
        <v>1</v>
      </c>
      <c r="F350" s="454" t="s">
        <v>112</v>
      </c>
      <c r="G350" s="292">
        <v>19</v>
      </c>
      <c r="H350" s="454" t="s">
        <v>195</v>
      </c>
      <c r="I350" s="292">
        <v>1905</v>
      </c>
      <c r="J350" s="454" t="s">
        <v>847</v>
      </c>
      <c r="K350" s="292">
        <v>1905015</v>
      </c>
      <c r="L350" s="454" t="s">
        <v>173</v>
      </c>
      <c r="M350" s="292">
        <v>190501500</v>
      </c>
      <c r="N350" s="453" t="s">
        <v>174</v>
      </c>
      <c r="O350" s="299" t="s">
        <v>26</v>
      </c>
      <c r="P350" s="299">
        <v>1</v>
      </c>
      <c r="Q350" s="299">
        <v>0.5</v>
      </c>
      <c r="R350" s="337">
        <v>2020003630123</v>
      </c>
      <c r="S350" s="454" t="s">
        <v>854</v>
      </c>
      <c r="T350" s="457"/>
      <c r="U350" s="457"/>
      <c r="V350" s="457"/>
      <c r="W350" s="457"/>
      <c r="X350" s="457"/>
      <c r="Y350" s="457"/>
      <c r="Z350" s="457">
        <f>78000000-66900000</f>
        <v>11100000</v>
      </c>
      <c r="AA350" s="457">
        <v>11100000</v>
      </c>
      <c r="AB350" s="457">
        <v>11100000</v>
      </c>
      <c r="AC350" s="457"/>
      <c r="AD350" s="457"/>
      <c r="AE350" s="457"/>
      <c r="AF350" s="457"/>
      <c r="AG350" s="457"/>
      <c r="AH350" s="457"/>
      <c r="AI350" s="457"/>
      <c r="AJ350" s="457"/>
      <c r="AK350" s="457"/>
      <c r="AL350" s="457"/>
      <c r="AM350" s="457"/>
      <c r="AN350" s="457"/>
      <c r="AO350" s="457"/>
      <c r="AP350" s="457"/>
      <c r="AQ350" s="457"/>
      <c r="AR350" s="457"/>
      <c r="AS350" s="457"/>
      <c r="AT350" s="457"/>
      <c r="AU350" s="457">
        <f t="shared" si="23"/>
        <v>11100000</v>
      </c>
      <c r="AV350" s="457">
        <f t="shared" si="21"/>
        <v>11100000</v>
      </c>
      <c r="AW350" s="457">
        <f t="shared" si="22"/>
        <v>11100000</v>
      </c>
      <c r="AX350" s="475" t="s">
        <v>795</v>
      </c>
    </row>
    <row r="351" spans="1:129" s="459" customFormat="1" ht="102" x14ac:dyDescent="0.25">
      <c r="A351" s="292">
        <v>318</v>
      </c>
      <c r="B351" s="454" t="s">
        <v>791</v>
      </c>
      <c r="C351" s="292">
        <v>1</v>
      </c>
      <c r="D351" s="454" t="s">
        <v>105</v>
      </c>
      <c r="E351" s="292">
        <v>1</v>
      </c>
      <c r="F351" s="454" t="s">
        <v>112</v>
      </c>
      <c r="G351" s="292">
        <v>19</v>
      </c>
      <c r="H351" s="454" t="s">
        <v>195</v>
      </c>
      <c r="I351" s="292">
        <v>1905</v>
      </c>
      <c r="J351" s="454" t="s">
        <v>847</v>
      </c>
      <c r="K351" s="292">
        <v>1905024</v>
      </c>
      <c r="L351" s="454" t="s">
        <v>860</v>
      </c>
      <c r="M351" s="292">
        <v>190502400</v>
      </c>
      <c r="N351" s="453" t="s">
        <v>870</v>
      </c>
      <c r="O351" s="465" t="s">
        <v>67</v>
      </c>
      <c r="P351" s="299">
        <v>3</v>
      </c>
      <c r="Q351" s="299">
        <v>2</v>
      </c>
      <c r="R351" s="337">
        <v>2020003630123</v>
      </c>
      <c r="S351" s="458" t="s">
        <v>854</v>
      </c>
      <c r="T351" s="457"/>
      <c r="U351" s="457"/>
      <c r="V351" s="457"/>
      <c r="W351" s="457"/>
      <c r="X351" s="457"/>
      <c r="Y351" s="457"/>
      <c r="Z351" s="457">
        <f>78000000-37905572</f>
        <v>40094428</v>
      </c>
      <c r="AA351" s="457">
        <f>78000000-37905572</f>
        <v>40094428</v>
      </c>
      <c r="AB351" s="457">
        <f>37294578.98-AB352</f>
        <v>22717912.979999997</v>
      </c>
      <c r="AC351" s="457"/>
      <c r="AD351" s="457"/>
      <c r="AE351" s="457"/>
      <c r="AF351" s="457"/>
      <c r="AG351" s="457"/>
      <c r="AH351" s="457"/>
      <c r="AI351" s="457"/>
      <c r="AJ351" s="457"/>
      <c r="AK351" s="457"/>
      <c r="AL351" s="457"/>
      <c r="AM351" s="457"/>
      <c r="AN351" s="457"/>
      <c r="AO351" s="457"/>
      <c r="AP351" s="457"/>
      <c r="AQ351" s="457"/>
      <c r="AR351" s="457"/>
      <c r="AS351" s="457"/>
      <c r="AT351" s="457"/>
      <c r="AU351" s="457">
        <f t="shared" si="23"/>
        <v>40094428</v>
      </c>
      <c r="AV351" s="457">
        <f t="shared" si="21"/>
        <v>40094428</v>
      </c>
      <c r="AW351" s="457">
        <f t="shared" si="22"/>
        <v>22717912.979999997</v>
      </c>
      <c r="AX351" s="475" t="s">
        <v>795</v>
      </c>
    </row>
    <row r="352" spans="1:129" s="459" customFormat="1" ht="102" x14ac:dyDescent="0.25">
      <c r="A352" s="292">
        <v>318</v>
      </c>
      <c r="B352" s="454" t="s">
        <v>791</v>
      </c>
      <c r="C352" s="292">
        <v>1</v>
      </c>
      <c r="D352" s="454" t="s">
        <v>105</v>
      </c>
      <c r="E352" s="292">
        <v>1</v>
      </c>
      <c r="F352" s="454" t="s">
        <v>112</v>
      </c>
      <c r="G352" s="292">
        <v>19</v>
      </c>
      <c r="H352" s="454" t="s">
        <v>195</v>
      </c>
      <c r="I352" s="292">
        <v>1905</v>
      </c>
      <c r="J352" s="454" t="s">
        <v>847</v>
      </c>
      <c r="K352" s="292">
        <v>1905024</v>
      </c>
      <c r="L352" s="454" t="s">
        <v>860</v>
      </c>
      <c r="M352" s="299">
        <v>190502400</v>
      </c>
      <c r="N352" s="453" t="s">
        <v>870</v>
      </c>
      <c r="O352" s="299" t="s">
        <v>26</v>
      </c>
      <c r="P352" s="299">
        <v>12</v>
      </c>
      <c r="Q352" s="299">
        <v>7</v>
      </c>
      <c r="R352" s="337">
        <v>2020003630123</v>
      </c>
      <c r="S352" s="454" t="s">
        <v>854</v>
      </c>
      <c r="T352" s="457"/>
      <c r="U352" s="457"/>
      <c r="V352" s="457"/>
      <c r="W352" s="457"/>
      <c r="X352" s="457"/>
      <c r="Y352" s="457"/>
      <c r="Z352" s="457">
        <f>39000000-24423334</f>
        <v>14576666</v>
      </c>
      <c r="AA352" s="457">
        <f>39000000-24423334</f>
        <v>14576666</v>
      </c>
      <c r="AB352" s="457">
        <v>14576666</v>
      </c>
      <c r="AC352" s="457"/>
      <c r="AD352" s="457"/>
      <c r="AE352" s="457"/>
      <c r="AF352" s="457"/>
      <c r="AG352" s="457"/>
      <c r="AH352" s="457"/>
      <c r="AI352" s="457"/>
      <c r="AJ352" s="457"/>
      <c r="AK352" s="457"/>
      <c r="AL352" s="457"/>
      <c r="AM352" s="457"/>
      <c r="AN352" s="457"/>
      <c r="AO352" s="457"/>
      <c r="AP352" s="457"/>
      <c r="AQ352" s="457"/>
      <c r="AR352" s="457"/>
      <c r="AS352" s="457"/>
      <c r="AT352" s="457"/>
      <c r="AU352" s="457">
        <f t="shared" si="23"/>
        <v>14576666</v>
      </c>
      <c r="AV352" s="457">
        <f t="shared" si="21"/>
        <v>14576666</v>
      </c>
      <c r="AW352" s="457">
        <f t="shared" si="22"/>
        <v>14576666</v>
      </c>
      <c r="AX352" s="475" t="s">
        <v>795</v>
      </c>
    </row>
    <row r="353" spans="1:129" s="459" customFormat="1" ht="76.5" x14ac:dyDescent="0.25">
      <c r="A353" s="292">
        <v>318</v>
      </c>
      <c r="B353" s="454" t="s">
        <v>791</v>
      </c>
      <c r="C353" s="292">
        <v>1</v>
      </c>
      <c r="D353" s="454" t="s">
        <v>105</v>
      </c>
      <c r="E353" s="292">
        <v>1</v>
      </c>
      <c r="F353" s="454" t="s">
        <v>112</v>
      </c>
      <c r="G353" s="292">
        <v>19</v>
      </c>
      <c r="H353" s="454" t="s">
        <v>195</v>
      </c>
      <c r="I353" s="292">
        <v>1905</v>
      </c>
      <c r="J353" s="454" t="s">
        <v>847</v>
      </c>
      <c r="K353" s="292">
        <v>1905021</v>
      </c>
      <c r="L353" s="454" t="s">
        <v>676</v>
      </c>
      <c r="M353" s="299">
        <v>190502100</v>
      </c>
      <c r="N353" s="453" t="s">
        <v>677</v>
      </c>
      <c r="O353" s="299" t="s">
        <v>26</v>
      </c>
      <c r="P353" s="299">
        <v>12</v>
      </c>
      <c r="Q353" s="299">
        <v>8</v>
      </c>
      <c r="R353" s="337">
        <v>2020003630124</v>
      </c>
      <c r="S353" s="454" t="s">
        <v>871</v>
      </c>
      <c r="T353" s="457"/>
      <c r="U353" s="457"/>
      <c r="V353" s="457"/>
      <c r="W353" s="457"/>
      <c r="X353" s="457"/>
      <c r="Y353" s="457"/>
      <c r="Z353" s="457">
        <f>102000000-54200000</f>
        <v>47800000</v>
      </c>
      <c r="AA353" s="457">
        <f>102000000-54200000</f>
        <v>47800000</v>
      </c>
      <c r="AB353" s="457">
        <f>102000000-54200000</f>
        <v>47800000</v>
      </c>
      <c r="AC353" s="457"/>
      <c r="AD353" s="457"/>
      <c r="AE353" s="457"/>
      <c r="AF353" s="457"/>
      <c r="AG353" s="457"/>
      <c r="AH353" s="457"/>
      <c r="AI353" s="457"/>
      <c r="AJ353" s="457"/>
      <c r="AK353" s="457"/>
      <c r="AL353" s="457"/>
      <c r="AM353" s="457"/>
      <c r="AN353" s="457"/>
      <c r="AO353" s="457"/>
      <c r="AP353" s="457"/>
      <c r="AQ353" s="457"/>
      <c r="AR353" s="457"/>
      <c r="AS353" s="457"/>
      <c r="AT353" s="457"/>
      <c r="AU353" s="457">
        <f t="shared" si="23"/>
        <v>47800000</v>
      </c>
      <c r="AV353" s="457">
        <f t="shared" si="21"/>
        <v>47800000</v>
      </c>
      <c r="AW353" s="457">
        <f t="shared" si="22"/>
        <v>47800000</v>
      </c>
      <c r="AX353" s="475" t="s">
        <v>795</v>
      </c>
    </row>
    <row r="354" spans="1:129" s="459" customFormat="1" ht="89.25" x14ac:dyDescent="0.25">
      <c r="A354" s="292">
        <v>318</v>
      </c>
      <c r="B354" s="454" t="s">
        <v>791</v>
      </c>
      <c r="C354" s="292">
        <v>1</v>
      </c>
      <c r="D354" s="454" t="s">
        <v>105</v>
      </c>
      <c r="E354" s="292">
        <v>1</v>
      </c>
      <c r="F354" s="454" t="s">
        <v>112</v>
      </c>
      <c r="G354" s="292">
        <v>19</v>
      </c>
      <c r="H354" s="454" t="s">
        <v>195</v>
      </c>
      <c r="I354" s="292">
        <v>1905</v>
      </c>
      <c r="J354" s="454" t="s">
        <v>847</v>
      </c>
      <c r="K354" s="292">
        <v>1905021</v>
      </c>
      <c r="L354" s="454" t="s">
        <v>872</v>
      </c>
      <c r="M354" s="292">
        <v>190502100</v>
      </c>
      <c r="N354" s="453" t="s">
        <v>873</v>
      </c>
      <c r="O354" s="299" t="s">
        <v>26</v>
      </c>
      <c r="P354" s="299">
        <v>11</v>
      </c>
      <c r="Q354" s="299">
        <v>7</v>
      </c>
      <c r="R354" s="337">
        <v>2020003630124</v>
      </c>
      <c r="S354" s="454" t="s">
        <v>871</v>
      </c>
      <c r="T354" s="457"/>
      <c r="U354" s="457"/>
      <c r="V354" s="457"/>
      <c r="W354" s="457"/>
      <c r="X354" s="457"/>
      <c r="Y354" s="457"/>
      <c r="Z354" s="457">
        <f>102000000-83200000</f>
        <v>18800000</v>
      </c>
      <c r="AA354" s="457">
        <f>102000000-83200000</f>
        <v>18800000</v>
      </c>
      <c r="AB354" s="457">
        <f>102000000-83200000</f>
        <v>18800000</v>
      </c>
      <c r="AC354" s="457"/>
      <c r="AD354" s="457"/>
      <c r="AE354" s="457"/>
      <c r="AF354" s="457"/>
      <c r="AG354" s="457"/>
      <c r="AH354" s="457"/>
      <c r="AI354" s="457"/>
      <c r="AJ354" s="457"/>
      <c r="AK354" s="457"/>
      <c r="AL354" s="457"/>
      <c r="AM354" s="457"/>
      <c r="AN354" s="457"/>
      <c r="AO354" s="457"/>
      <c r="AP354" s="457"/>
      <c r="AQ354" s="457"/>
      <c r="AR354" s="457"/>
      <c r="AS354" s="457"/>
      <c r="AT354" s="457"/>
      <c r="AU354" s="457">
        <f t="shared" si="23"/>
        <v>18800000</v>
      </c>
      <c r="AV354" s="457">
        <f t="shared" si="21"/>
        <v>18800000</v>
      </c>
      <c r="AW354" s="457">
        <f t="shared" si="22"/>
        <v>18800000</v>
      </c>
      <c r="AX354" s="475" t="s">
        <v>795</v>
      </c>
    </row>
    <row r="355" spans="1:129" s="332" customFormat="1" ht="76.5" x14ac:dyDescent="0.25">
      <c r="A355" s="259">
        <v>318</v>
      </c>
      <c r="B355" s="325" t="s">
        <v>791</v>
      </c>
      <c r="C355" s="259"/>
      <c r="D355" s="325"/>
      <c r="E355" s="259">
        <v>1</v>
      </c>
      <c r="F355" s="325" t="s">
        <v>112</v>
      </c>
      <c r="G355" s="282" t="s">
        <v>682</v>
      </c>
      <c r="H355" s="385" t="s">
        <v>195</v>
      </c>
      <c r="I355" s="259">
        <v>1905</v>
      </c>
      <c r="J355" s="325" t="s">
        <v>847</v>
      </c>
      <c r="K355" s="259">
        <v>1905021</v>
      </c>
      <c r="L355" s="325" t="s">
        <v>684</v>
      </c>
      <c r="M355" s="259">
        <v>190502100</v>
      </c>
      <c r="N355" s="333" t="s">
        <v>685</v>
      </c>
      <c r="O355" s="272" t="s">
        <v>26</v>
      </c>
      <c r="P355" s="280">
        <v>12</v>
      </c>
      <c r="Q355" s="280">
        <v>7</v>
      </c>
      <c r="R355" s="281">
        <v>2024003630107</v>
      </c>
      <c r="S355" s="325" t="s">
        <v>874</v>
      </c>
      <c r="T355" s="328"/>
      <c r="U355" s="328"/>
      <c r="V355" s="328"/>
      <c r="W355" s="328"/>
      <c r="X355" s="328"/>
      <c r="Y355" s="328"/>
      <c r="Z355" s="328">
        <v>18960000</v>
      </c>
      <c r="AA355" s="328">
        <v>12383332</v>
      </c>
      <c r="AB355" s="328">
        <v>7400000</v>
      </c>
      <c r="AC355" s="328"/>
      <c r="AD355" s="328"/>
      <c r="AE355" s="328"/>
      <c r="AF355" s="328"/>
      <c r="AG355" s="328"/>
      <c r="AH355" s="328"/>
      <c r="AI355" s="328"/>
      <c r="AJ355" s="328"/>
      <c r="AK355" s="328"/>
      <c r="AL355" s="328"/>
      <c r="AM355" s="328"/>
      <c r="AN355" s="328"/>
      <c r="AO355" s="328"/>
      <c r="AP355" s="328"/>
      <c r="AQ355" s="328"/>
      <c r="AR355" s="328"/>
      <c r="AS355" s="328"/>
      <c r="AT355" s="328"/>
      <c r="AU355" s="328">
        <f t="shared" si="23"/>
        <v>18960000</v>
      </c>
      <c r="AV355" s="328">
        <f t="shared" si="21"/>
        <v>12383332</v>
      </c>
      <c r="AW355" s="328">
        <f t="shared" si="22"/>
        <v>7400000</v>
      </c>
      <c r="AX355" s="330" t="s">
        <v>795</v>
      </c>
      <c r="AY355" s="331"/>
      <c r="AZ355" s="331"/>
      <c r="BA355" s="331"/>
      <c r="BB355" s="331"/>
      <c r="BC355" s="331"/>
      <c r="BD355" s="331"/>
      <c r="BE355" s="331"/>
      <c r="BF355" s="331"/>
      <c r="BG355" s="331"/>
      <c r="BH355" s="331"/>
      <c r="BI355" s="331"/>
      <c r="BJ355" s="331"/>
      <c r="BK355" s="331"/>
      <c r="BL355" s="331"/>
      <c r="BM355" s="331"/>
      <c r="BN355" s="331"/>
      <c r="BO355" s="331"/>
      <c r="BP355" s="331"/>
      <c r="BQ355" s="331"/>
      <c r="BR355" s="331"/>
      <c r="BS355" s="331"/>
      <c r="BT355" s="331"/>
      <c r="BU355" s="331"/>
      <c r="BV355" s="331"/>
      <c r="BW355" s="331"/>
      <c r="BX355" s="331"/>
      <c r="BY355" s="331"/>
      <c r="BZ355" s="331"/>
      <c r="CA355" s="331"/>
      <c r="CB355" s="331"/>
      <c r="CC355" s="331"/>
      <c r="CD355" s="331"/>
      <c r="CE355" s="331"/>
      <c r="CF355" s="331"/>
      <c r="CG355" s="331"/>
      <c r="CH355" s="331"/>
      <c r="CI355" s="331"/>
      <c r="CJ355" s="331"/>
      <c r="CK355" s="331"/>
      <c r="CL355" s="331"/>
      <c r="CM355" s="331"/>
      <c r="CN355" s="331"/>
      <c r="CO355" s="331"/>
      <c r="CP355" s="331"/>
      <c r="CQ355" s="331"/>
      <c r="CR355" s="331"/>
      <c r="CS355" s="331"/>
      <c r="CT355" s="331"/>
      <c r="CU355" s="331"/>
      <c r="CV355" s="331"/>
      <c r="CW355" s="331"/>
      <c r="CX355" s="331"/>
      <c r="CY355" s="331"/>
      <c r="CZ355" s="331"/>
      <c r="DA355" s="331"/>
      <c r="DB355" s="331"/>
      <c r="DC355" s="331"/>
      <c r="DD355" s="331"/>
      <c r="DE355" s="331"/>
      <c r="DF355" s="331"/>
      <c r="DG355" s="331"/>
      <c r="DH355" s="331"/>
      <c r="DI355" s="331"/>
      <c r="DJ355" s="331"/>
      <c r="DK355" s="331"/>
      <c r="DL355" s="331"/>
      <c r="DM355" s="331"/>
      <c r="DN355" s="331"/>
      <c r="DO355" s="331"/>
      <c r="DP355" s="331"/>
      <c r="DQ355" s="331"/>
      <c r="DR355" s="331"/>
      <c r="DS355" s="331"/>
      <c r="DT355" s="331"/>
      <c r="DU355" s="331"/>
      <c r="DV355" s="331"/>
      <c r="DW355" s="331"/>
      <c r="DX355" s="331"/>
      <c r="DY355" s="331"/>
    </row>
    <row r="356" spans="1:129" s="332" customFormat="1" ht="89.25" x14ac:dyDescent="0.25">
      <c r="A356" s="259">
        <v>318</v>
      </c>
      <c r="B356" s="325" t="s">
        <v>791</v>
      </c>
      <c r="C356" s="259"/>
      <c r="D356" s="325"/>
      <c r="E356" s="259">
        <v>1</v>
      </c>
      <c r="F356" s="325" t="s">
        <v>112</v>
      </c>
      <c r="G356" s="282" t="s">
        <v>682</v>
      </c>
      <c r="H356" s="385" t="s">
        <v>195</v>
      </c>
      <c r="I356" s="259">
        <v>1905</v>
      </c>
      <c r="J356" s="325" t="s">
        <v>847</v>
      </c>
      <c r="K356" s="259">
        <v>1905021</v>
      </c>
      <c r="L356" s="325" t="s">
        <v>684</v>
      </c>
      <c r="M356" s="259">
        <v>190502101</v>
      </c>
      <c r="N356" s="333" t="s">
        <v>875</v>
      </c>
      <c r="O356" s="272" t="s">
        <v>67</v>
      </c>
      <c r="P356" s="280">
        <v>120</v>
      </c>
      <c r="Q356" s="280">
        <v>120</v>
      </c>
      <c r="R356" s="281">
        <v>2024003630107</v>
      </c>
      <c r="S356" s="325" t="s">
        <v>874</v>
      </c>
      <c r="T356" s="328"/>
      <c r="U356" s="328"/>
      <c r="V356" s="328"/>
      <c r="W356" s="328"/>
      <c r="X356" s="328"/>
      <c r="Y356" s="328"/>
      <c r="Z356" s="328">
        <v>18960000</v>
      </c>
      <c r="AA356" s="328">
        <v>12000000</v>
      </c>
      <c r="AB356" s="328">
        <v>3700000</v>
      </c>
      <c r="AC356" s="328"/>
      <c r="AD356" s="328"/>
      <c r="AE356" s="328"/>
      <c r="AF356" s="328"/>
      <c r="AG356" s="328"/>
      <c r="AH356" s="328"/>
      <c r="AI356" s="328"/>
      <c r="AJ356" s="328"/>
      <c r="AK356" s="328"/>
      <c r="AL356" s="328"/>
      <c r="AM356" s="328"/>
      <c r="AN356" s="328"/>
      <c r="AO356" s="328"/>
      <c r="AP356" s="328"/>
      <c r="AQ356" s="328"/>
      <c r="AR356" s="328"/>
      <c r="AS356" s="328"/>
      <c r="AT356" s="328"/>
      <c r="AU356" s="328">
        <f t="shared" si="23"/>
        <v>18960000</v>
      </c>
      <c r="AV356" s="328">
        <f t="shared" si="21"/>
        <v>12000000</v>
      </c>
      <c r="AW356" s="328">
        <f t="shared" si="22"/>
        <v>3700000</v>
      </c>
      <c r="AX356" s="330" t="s">
        <v>795</v>
      </c>
      <c r="AY356" s="331"/>
      <c r="AZ356" s="331"/>
      <c r="BA356" s="331"/>
      <c r="BB356" s="331"/>
      <c r="BC356" s="331"/>
      <c r="BD356" s="331"/>
      <c r="BE356" s="331"/>
      <c r="BF356" s="331"/>
      <c r="BG356" s="331"/>
      <c r="BH356" s="331"/>
      <c r="BI356" s="331"/>
      <c r="BJ356" s="331"/>
      <c r="BK356" s="331"/>
      <c r="BL356" s="331"/>
      <c r="BM356" s="331"/>
      <c r="BN356" s="331"/>
      <c r="BO356" s="331"/>
      <c r="BP356" s="331"/>
      <c r="BQ356" s="331"/>
      <c r="BR356" s="331"/>
      <c r="BS356" s="331"/>
      <c r="BT356" s="331"/>
      <c r="BU356" s="331"/>
      <c r="BV356" s="331"/>
      <c r="BW356" s="331"/>
      <c r="BX356" s="331"/>
      <c r="BY356" s="331"/>
      <c r="BZ356" s="331"/>
      <c r="CA356" s="331"/>
      <c r="CB356" s="331"/>
      <c r="CC356" s="331"/>
      <c r="CD356" s="331"/>
      <c r="CE356" s="331"/>
      <c r="CF356" s="331"/>
      <c r="CG356" s="331"/>
      <c r="CH356" s="331"/>
      <c r="CI356" s="331"/>
      <c r="CJ356" s="331"/>
      <c r="CK356" s="331"/>
      <c r="CL356" s="331"/>
      <c r="CM356" s="331"/>
      <c r="CN356" s="331"/>
      <c r="CO356" s="331"/>
      <c r="CP356" s="331"/>
      <c r="CQ356" s="331"/>
      <c r="CR356" s="331"/>
      <c r="CS356" s="331"/>
      <c r="CT356" s="331"/>
      <c r="CU356" s="331"/>
      <c r="CV356" s="331"/>
      <c r="CW356" s="331"/>
      <c r="CX356" s="331"/>
      <c r="CY356" s="331"/>
      <c r="CZ356" s="331"/>
      <c r="DA356" s="331"/>
      <c r="DB356" s="331"/>
      <c r="DC356" s="331"/>
      <c r="DD356" s="331"/>
      <c r="DE356" s="331"/>
      <c r="DF356" s="331"/>
      <c r="DG356" s="331"/>
      <c r="DH356" s="331"/>
      <c r="DI356" s="331"/>
      <c r="DJ356" s="331"/>
      <c r="DK356" s="331"/>
      <c r="DL356" s="331"/>
      <c r="DM356" s="331"/>
      <c r="DN356" s="331"/>
      <c r="DO356" s="331"/>
      <c r="DP356" s="331"/>
      <c r="DQ356" s="331"/>
      <c r="DR356" s="331"/>
      <c r="DS356" s="331"/>
      <c r="DT356" s="331"/>
      <c r="DU356" s="331"/>
      <c r="DV356" s="331"/>
      <c r="DW356" s="331"/>
      <c r="DX356" s="331"/>
      <c r="DY356" s="331"/>
    </row>
    <row r="357" spans="1:129" s="332" customFormat="1" ht="76.5" x14ac:dyDescent="0.25">
      <c r="A357" s="259">
        <v>318</v>
      </c>
      <c r="B357" s="325" t="s">
        <v>791</v>
      </c>
      <c r="C357" s="259"/>
      <c r="D357" s="325"/>
      <c r="E357" s="259">
        <v>1</v>
      </c>
      <c r="F357" s="325" t="s">
        <v>112</v>
      </c>
      <c r="G357" s="282" t="s">
        <v>682</v>
      </c>
      <c r="H357" s="385" t="s">
        <v>195</v>
      </c>
      <c r="I357" s="259">
        <v>1905</v>
      </c>
      <c r="J357" s="325" t="s">
        <v>847</v>
      </c>
      <c r="K357" s="259">
        <v>1905021</v>
      </c>
      <c r="L357" s="325" t="s">
        <v>684</v>
      </c>
      <c r="M357" s="259">
        <v>190502102</v>
      </c>
      <c r="N357" s="333" t="s">
        <v>876</v>
      </c>
      <c r="O357" s="272" t="s">
        <v>26</v>
      </c>
      <c r="P357" s="280">
        <v>11</v>
      </c>
      <c r="Q357" s="280">
        <v>11</v>
      </c>
      <c r="R357" s="281">
        <v>2024003630107</v>
      </c>
      <c r="S357" s="325" t="s">
        <v>874</v>
      </c>
      <c r="T357" s="328"/>
      <c r="U357" s="328"/>
      <c r="V357" s="328"/>
      <c r="W357" s="328"/>
      <c r="X357" s="328"/>
      <c r="Y357" s="328"/>
      <c r="Z357" s="328">
        <v>18960000</v>
      </c>
      <c r="AA357" s="328">
        <v>12000000</v>
      </c>
      <c r="AB357" s="328">
        <v>3700000</v>
      </c>
      <c r="AC357" s="328"/>
      <c r="AD357" s="328"/>
      <c r="AE357" s="328"/>
      <c r="AF357" s="328"/>
      <c r="AG357" s="328"/>
      <c r="AH357" s="328"/>
      <c r="AI357" s="328"/>
      <c r="AJ357" s="328"/>
      <c r="AK357" s="328"/>
      <c r="AL357" s="328"/>
      <c r="AM357" s="328"/>
      <c r="AN357" s="328"/>
      <c r="AO357" s="328"/>
      <c r="AP357" s="328"/>
      <c r="AQ357" s="328"/>
      <c r="AR357" s="328"/>
      <c r="AS357" s="328"/>
      <c r="AT357" s="328"/>
      <c r="AU357" s="328">
        <f t="shared" si="23"/>
        <v>18960000</v>
      </c>
      <c r="AV357" s="328">
        <f t="shared" si="21"/>
        <v>12000000</v>
      </c>
      <c r="AW357" s="328">
        <f t="shared" si="22"/>
        <v>3700000</v>
      </c>
      <c r="AX357" s="330" t="s">
        <v>795</v>
      </c>
      <c r="AY357" s="331"/>
      <c r="AZ357" s="331"/>
      <c r="BA357" s="331"/>
      <c r="BB357" s="331"/>
      <c r="BC357" s="331"/>
      <c r="BD357" s="331"/>
      <c r="BE357" s="331"/>
      <c r="BF357" s="331"/>
      <c r="BG357" s="331"/>
      <c r="BH357" s="331"/>
      <c r="BI357" s="331"/>
      <c r="BJ357" s="331"/>
      <c r="BK357" s="331"/>
      <c r="BL357" s="331"/>
      <c r="BM357" s="331"/>
      <c r="BN357" s="331"/>
      <c r="BO357" s="331"/>
      <c r="BP357" s="331"/>
      <c r="BQ357" s="331"/>
      <c r="BR357" s="331"/>
      <c r="BS357" s="331"/>
      <c r="BT357" s="331"/>
      <c r="BU357" s="331"/>
      <c r="BV357" s="331"/>
      <c r="BW357" s="331"/>
      <c r="BX357" s="331"/>
      <c r="BY357" s="331"/>
      <c r="BZ357" s="331"/>
      <c r="CA357" s="331"/>
      <c r="CB357" s="331"/>
      <c r="CC357" s="331"/>
      <c r="CD357" s="331"/>
      <c r="CE357" s="331"/>
      <c r="CF357" s="331"/>
      <c r="CG357" s="331"/>
      <c r="CH357" s="331"/>
      <c r="CI357" s="331"/>
      <c r="CJ357" s="331"/>
      <c r="CK357" s="331"/>
      <c r="CL357" s="331"/>
      <c r="CM357" s="331"/>
      <c r="CN357" s="331"/>
      <c r="CO357" s="331"/>
      <c r="CP357" s="331"/>
      <c r="CQ357" s="331"/>
      <c r="CR357" s="331"/>
      <c r="CS357" s="331"/>
      <c r="CT357" s="331"/>
      <c r="CU357" s="331"/>
      <c r="CV357" s="331"/>
      <c r="CW357" s="331"/>
      <c r="CX357" s="331"/>
      <c r="CY357" s="331"/>
      <c r="CZ357" s="331"/>
      <c r="DA357" s="331"/>
      <c r="DB357" s="331"/>
      <c r="DC357" s="331"/>
      <c r="DD357" s="331"/>
      <c r="DE357" s="331"/>
      <c r="DF357" s="331"/>
      <c r="DG357" s="331"/>
      <c r="DH357" s="331"/>
      <c r="DI357" s="331"/>
      <c r="DJ357" s="331"/>
      <c r="DK357" s="331"/>
      <c r="DL357" s="331"/>
      <c r="DM357" s="331"/>
      <c r="DN357" s="331"/>
      <c r="DO357" s="331"/>
      <c r="DP357" s="331"/>
      <c r="DQ357" s="331"/>
      <c r="DR357" s="331"/>
      <c r="DS357" s="331"/>
      <c r="DT357" s="331"/>
      <c r="DU357" s="331"/>
      <c r="DV357" s="331"/>
      <c r="DW357" s="331"/>
      <c r="DX357" s="331"/>
      <c r="DY357" s="331"/>
    </row>
    <row r="358" spans="1:129" s="332" customFormat="1" ht="63.75" x14ac:dyDescent="0.25">
      <c r="A358" s="259">
        <v>318</v>
      </c>
      <c r="B358" s="325" t="s">
        <v>791</v>
      </c>
      <c r="C358" s="259"/>
      <c r="D358" s="325"/>
      <c r="E358" s="259">
        <v>1</v>
      </c>
      <c r="F358" s="325" t="s">
        <v>112</v>
      </c>
      <c r="G358" s="282" t="s">
        <v>682</v>
      </c>
      <c r="H358" s="385" t="s">
        <v>195</v>
      </c>
      <c r="I358" s="259">
        <v>1905</v>
      </c>
      <c r="J358" s="325" t="s">
        <v>847</v>
      </c>
      <c r="K358" s="259">
        <v>1905049</v>
      </c>
      <c r="L358" s="325" t="s">
        <v>877</v>
      </c>
      <c r="M358" s="259" t="s">
        <v>878</v>
      </c>
      <c r="N358" s="333" t="s">
        <v>879</v>
      </c>
      <c r="O358" s="272" t="s">
        <v>26</v>
      </c>
      <c r="P358" s="280">
        <v>12</v>
      </c>
      <c r="Q358" s="280">
        <v>6</v>
      </c>
      <c r="R358" s="281">
        <v>2024003630107</v>
      </c>
      <c r="S358" s="325" t="s">
        <v>874</v>
      </c>
      <c r="T358" s="328"/>
      <c r="U358" s="328"/>
      <c r="V358" s="328"/>
      <c r="W358" s="328"/>
      <c r="X358" s="328"/>
      <c r="Y358" s="328"/>
      <c r="Z358" s="328">
        <v>18960000</v>
      </c>
      <c r="AA358" s="328">
        <v>12333333</v>
      </c>
      <c r="AB358" s="328">
        <v>3700000</v>
      </c>
      <c r="AC358" s="328"/>
      <c r="AD358" s="328"/>
      <c r="AE358" s="328"/>
      <c r="AF358" s="328"/>
      <c r="AG358" s="328"/>
      <c r="AH358" s="328"/>
      <c r="AI358" s="328"/>
      <c r="AJ358" s="328"/>
      <c r="AK358" s="328"/>
      <c r="AL358" s="328"/>
      <c r="AM358" s="328"/>
      <c r="AN358" s="328"/>
      <c r="AO358" s="328"/>
      <c r="AP358" s="328"/>
      <c r="AQ358" s="328"/>
      <c r="AR358" s="328"/>
      <c r="AS358" s="328"/>
      <c r="AT358" s="328"/>
      <c r="AU358" s="328">
        <f t="shared" si="23"/>
        <v>18960000</v>
      </c>
      <c r="AV358" s="328">
        <f t="shared" si="21"/>
        <v>12333333</v>
      </c>
      <c r="AW358" s="328">
        <f t="shared" si="22"/>
        <v>3700000</v>
      </c>
      <c r="AX358" s="330" t="s">
        <v>795</v>
      </c>
      <c r="AY358" s="331"/>
      <c r="AZ358" s="331"/>
      <c r="BA358" s="331"/>
      <c r="BB358" s="331"/>
      <c r="BC358" s="331"/>
      <c r="BD358" s="331"/>
      <c r="BE358" s="331"/>
      <c r="BF358" s="331"/>
      <c r="BG358" s="331"/>
      <c r="BH358" s="331"/>
      <c r="BI358" s="331"/>
      <c r="BJ358" s="331"/>
      <c r="BK358" s="331"/>
      <c r="BL358" s="331"/>
      <c r="BM358" s="331"/>
      <c r="BN358" s="331"/>
      <c r="BO358" s="331"/>
      <c r="BP358" s="331"/>
      <c r="BQ358" s="331"/>
      <c r="BR358" s="331"/>
      <c r="BS358" s="331"/>
      <c r="BT358" s="331"/>
      <c r="BU358" s="331"/>
      <c r="BV358" s="331"/>
      <c r="BW358" s="331"/>
      <c r="BX358" s="331"/>
      <c r="BY358" s="331"/>
      <c r="BZ358" s="331"/>
      <c r="CA358" s="331"/>
      <c r="CB358" s="331"/>
      <c r="CC358" s="331"/>
      <c r="CD358" s="331"/>
      <c r="CE358" s="331"/>
      <c r="CF358" s="331"/>
      <c r="CG358" s="331"/>
      <c r="CH358" s="331"/>
      <c r="CI358" s="331"/>
      <c r="CJ358" s="331"/>
      <c r="CK358" s="331"/>
      <c r="CL358" s="331"/>
      <c r="CM358" s="331"/>
      <c r="CN358" s="331"/>
      <c r="CO358" s="331"/>
      <c r="CP358" s="331"/>
      <c r="CQ358" s="331"/>
      <c r="CR358" s="331"/>
      <c r="CS358" s="331"/>
      <c r="CT358" s="331"/>
      <c r="CU358" s="331"/>
      <c r="CV358" s="331"/>
      <c r="CW358" s="331"/>
      <c r="CX358" s="331"/>
      <c r="CY358" s="331"/>
      <c r="CZ358" s="331"/>
      <c r="DA358" s="331"/>
      <c r="DB358" s="331"/>
      <c r="DC358" s="331"/>
      <c r="DD358" s="331"/>
      <c r="DE358" s="331"/>
      <c r="DF358" s="331"/>
      <c r="DG358" s="331"/>
      <c r="DH358" s="331"/>
      <c r="DI358" s="331"/>
      <c r="DJ358" s="331"/>
      <c r="DK358" s="331"/>
      <c r="DL358" s="331"/>
      <c r="DM358" s="331"/>
      <c r="DN358" s="331"/>
      <c r="DO358" s="331"/>
      <c r="DP358" s="331"/>
      <c r="DQ358" s="331"/>
      <c r="DR358" s="331"/>
      <c r="DS358" s="331"/>
      <c r="DT358" s="331"/>
      <c r="DU358" s="331"/>
      <c r="DV358" s="331"/>
      <c r="DW358" s="331"/>
      <c r="DX358" s="331"/>
      <c r="DY358" s="331"/>
    </row>
    <row r="359" spans="1:129" s="332" customFormat="1" ht="76.5" x14ac:dyDescent="0.25">
      <c r="A359" s="259">
        <v>318</v>
      </c>
      <c r="B359" s="325" t="s">
        <v>791</v>
      </c>
      <c r="C359" s="271"/>
      <c r="D359" s="386"/>
      <c r="E359" s="271">
        <v>1</v>
      </c>
      <c r="F359" s="386" t="s">
        <v>112</v>
      </c>
      <c r="G359" s="281">
        <v>19</v>
      </c>
      <c r="H359" s="385" t="s">
        <v>195</v>
      </c>
      <c r="I359" s="259">
        <v>1905</v>
      </c>
      <c r="J359" s="325" t="s">
        <v>847</v>
      </c>
      <c r="K359" s="281">
        <v>1905054</v>
      </c>
      <c r="L359" s="385" t="s">
        <v>864</v>
      </c>
      <c r="M359" s="281">
        <v>190505403</v>
      </c>
      <c r="N359" s="385" t="s">
        <v>880</v>
      </c>
      <c r="O359" s="272" t="s">
        <v>26</v>
      </c>
      <c r="P359" s="280">
        <v>11</v>
      </c>
      <c r="Q359" s="280">
        <v>3</v>
      </c>
      <c r="R359" s="281">
        <v>2024003630107</v>
      </c>
      <c r="S359" s="325" t="s">
        <v>874</v>
      </c>
      <c r="T359" s="328"/>
      <c r="U359" s="328"/>
      <c r="V359" s="328"/>
      <c r="W359" s="328"/>
      <c r="X359" s="328"/>
      <c r="Y359" s="328"/>
      <c r="Z359" s="328">
        <v>18960000</v>
      </c>
      <c r="AA359" s="328">
        <v>11100000</v>
      </c>
      <c r="AB359" s="328">
        <v>3700000</v>
      </c>
      <c r="AC359" s="328"/>
      <c r="AD359" s="328"/>
      <c r="AE359" s="328"/>
      <c r="AF359" s="328"/>
      <c r="AG359" s="328"/>
      <c r="AH359" s="328"/>
      <c r="AI359" s="328"/>
      <c r="AJ359" s="328"/>
      <c r="AK359" s="328"/>
      <c r="AL359" s="328"/>
      <c r="AM359" s="328"/>
      <c r="AN359" s="328"/>
      <c r="AO359" s="328"/>
      <c r="AP359" s="328"/>
      <c r="AQ359" s="328"/>
      <c r="AR359" s="328"/>
      <c r="AS359" s="328"/>
      <c r="AT359" s="328"/>
      <c r="AU359" s="328">
        <f t="shared" si="23"/>
        <v>18960000</v>
      </c>
      <c r="AV359" s="328">
        <f t="shared" si="21"/>
        <v>11100000</v>
      </c>
      <c r="AW359" s="328">
        <f t="shared" si="22"/>
        <v>3700000</v>
      </c>
      <c r="AX359" s="330" t="s">
        <v>795</v>
      </c>
      <c r="AY359" s="331"/>
      <c r="AZ359" s="331"/>
      <c r="BA359" s="331"/>
      <c r="BB359" s="331"/>
      <c r="BC359" s="331"/>
      <c r="BD359" s="331"/>
      <c r="BE359" s="331"/>
      <c r="BF359" s="331"/>
      <c r="BG359" s="331"/>
      <c r="BH359" s="331"/>
      <c r="BI359" s="331"/>
      <c r="BJ359" s="331"/>
      <c r="BK359" s="331"/>
      <c r="BL359" s="331"/>
      <c r="BM359" s="331"/>
      <c r="BN359" s="331"/>
      <c r="BO359" s="331"/>
      <c r="BP359" s="331"/>
      <c r="BQ359" s="331"/>
      <c r="BR359" s="331"/>
      <c r="BS359" s="331"/>
      <c r="BT359" s="331"/>
      <c r="BU359" s="331"/>
      <c r="BV359" s="331"/>
      <c r="BW359" s="331"/>
      <c r="BX359" s="331"/>
      <c r="BY359" s="331"/>
      <c r="BZ359" s="331"/>
      <c r="CA359" s="331"/>
      <c r="CB359" s="331"/>
      <c r="CC359" s="331"/>
      <c r="CD359" s="331"/>
      <c r="CE359" s="331"/>
      <c r="CF359" s="331"/>
      <c r="CG359" s="331"/>
      <c r="CH359" s="331"/>
      <c r="CI359" s="331"/>
      <c r="CJ359" s="331"/>
      <c r="CK359" s="331"/>
      <c r="CL359" s="331"/>
      <c r="CM359" s="331"/>
      <c r="CN359" s="331"/>
      <c r="CO359" s="331"/>
      <c r="CP359" s="331"/>
      <c r="CQ359" s="331"/>
      <c r="CR359" s="331"/>
      <c r="CS359" s="331"/>
      <c r="CT359" s="331"/>
      <c r="CU359" s="331"/>
      <c r="CV359" s="331"/>
      <c r="CW359" s="331"/>
      <c r="CX359" s="331"/>
      <c r="CY359" s="331"/>
      <c r="CZ359" s="331"/>
      <c r="DA359" s="331"/>
      <c r="DB359" s="331"/>
      <c r="DC359" s="331"/>
      <c r="DD359" s="331"/>
      <c r="DE359" s="331"/>
      <c r="DF359" s="331"/>
      <c r="DG359" s="331"/>
      <c r="DH359" s="331"/>
      <c r="DI359" s="331"/>
      <c r="DJ359" s="331"/>
      <c r="DK359" s="331"/>
      <c r="DL359" s="331"/>
      <c r="DM359" s="331"/>
      <c r="DN359" s="331"/>
      <c r="DO359" s="331"/>
      <c r="DP359" s="331"/>
      <c r="DQ359" s="331"/>
      <c r="DR359" s="331"/>
      <c r="DS359" s="331"/>
      <c r="DT359" s="331"/>
      <c r="DU359" s="331"/>
      <c r="DV359" s="331"/>
      <c r="DW359" s="331"/>
      <c r="DX359" s="331"/>
      <c r="DY359" s="331"/>
    </row>
    <row r="360" spans="1:129" s="459" customFormat="1" ht="89.25" x14ac:dyDescent="0.25">
      <c r="A360" s="292">
        <v>318</v>
      </c>
      <c r="B360" s="454" t="s">
        <v>791</v>
      </c>
      <c r="C360" s="292">
        <v>1</v>
      </c>
      <c r="D360" s="454" t="s">
        <v>105</v>
      </c>
      <c r="E360" s="292">
        <v>1</v>
      </c>
      <c r="F360" s="454" t="s">
        <v>112</v>
      </c>
      <c r="G360" s="292">
        <v>19</v>
      </c>
      <c r="H360" s="454" t="s">
        <v>195</v>
      </c>
      <c r="I360" s="292">
        <v>1905</v>
      </c>
      <c r="J360" s="454" t="s">
        <v>847</v>
      </c>
      <c r="K360" s="344">
        <v>1905020</v>
      </c>
      <c r="L360" s="454" t="s">
        <v>881</v>
      </c>
      <c r="M360" s="299">
        <v>190502000</v>
      </c>
      <c r="N360" s="453" t="s">
        <v>882</v>
      </c>
      <c r="O360" s="299" t="s">
        <v>26</v>
      </c>
      <c r="P360" s="299">
        <v>12</v>
      </c>
      <c r="Q360" s="299">
        <v>12</v>
      </c>
      <c r="R360" s="337">
        <v>2020003630125</v>
      </c>
      <c r="S360" s="458" t="s">
        <v>883</v>
      </c>
      <c r="T360" s="457"/>
      <c r="U360" s="457"/>
      <c r="V360" s="457"/>
      <c r="W360" s="457"/>
      <c r="X360" s="457"/>
      <c r="Y360" s="457"/>
      <c r="Z360" s="470">
        <f>48000000-27000000</f>
        <v>21000000</v>
      </c>
      <c r="AA360" s="470">
        <v>21000000</v>
      </c>
      <c r="AB360" s="470">
        <v>21000000</v>
      </c>
      <c r="AC360" s="457"/>
      <c r="AD360" s="457"/>
      <c r="AE360" s="457"/>
      <c r="AF360" s="457"/>
      <c r="AG360" s="457"/>
      <c r="AH360" s="457"/>
      <c r="AI360" s="457"/>
      <c r="AJ360" s="457"/>
      <c r="AK360" s="457"/>
      <c r="AL360" s="457"/>
      <c r="AM360" s="457"/>
      <c r="AN360" s="457"/>
      <c r="AO360" s="457"/>
      <c r="AP360" s="457"/>
      <c r="AQ360" s="457"/>
      <c r="AR360" s="457"/>
      <c r="AS360" s="457"/>
      <c r="AT360" s="457"/>
      <c r="AU360" s="472">
        <f t="shared" si="23"/>
        <v>21000000</v>
      </c>
      <c r="AV360" s="472">
        <f t="shared" si="21"/>
        <v>21000000</v>
      </c>
      <c r="AW360" s="472">
        <f t="shared" si="22"/>
        <v>21000000</v>
      </c>
      <c r="AX360" s="475" t="s">
        <v>795</v>
      </c>
    </row>
    <row r="361" spans="1:129" s="459" customFormat="1" ht="76.5" x14ac:dyDescent="0.25">
      <c r="A361" s="292">
        <v>318</v>
      </c>
      <c r="B361" s="454" t="s">
        <v>791</v>
      </c>
      <c r="C361" s="292">
        <v>1</v>
      </c>
      <c r="D361" s="454" t="s">
        <v>105</v>
      </c>
      <c r="E361" s="292">
        <v>1</v>
      </c>
      <c r="F361" s="454" t="s">
        <v>112</v>
      </c>
      <c r="G361" s="292">
        <v>19</v>
      </c>
      <c r="H361" s="454" t="s">
        <v>195</v>
      </c>
      <c r="I361" s="292">
        <v>1905</v>
      </c>
      <c r="J361" s="454" t="s">
        <v>847</v>
      </c>
      <c r="K361" s="344">
        <v>1905022</v>
      </c>
      <c r="L361" s="454" t="s">
        <v>680</v>
      </c>
      <c r="M361" s="299">
        <v>190502200</v>
      </c>
      <c r="N361" s="453" t="s">
        <v>681</v>
      </c>
      <c r="O361" s="299" t="s">
        <v>26</v>
      </c>
      <c r="P361" s="299">
        <v>12</v>
      </c>
      <c r="Q361" s="299">
        <v>6</v>
      </c>
      <c r="R361" s="337">
        <v>2020003630125</v>
      </c>
      <c r="S361" s="454" t="s">
        <v>883</v>
      </c>
      <c r="T361" s="457"/>
      <c r="U361" s="457"/>
      <c r="V361" s="457"/>
      <c r="W361" s="457"/>
      <c r="X361" s="457"/>
      <c r="Y361" s="457"/>
      <c r="Z361" s="470">
        <f>84000000-52300000</f>
        <v>31700000</v>
      </c>
      <c r="AA361" s="470">
        <v>31700000</v>
      </c>
      <c r="AB361" s="470">
        <v>29500000</v>
      </c>
      <c r="AC361" s="457"/>
      <c r="AD361" s="457"/>
      <c r="AE361" s="457"/>
      <c r="AF361" s="457"/>
      <c r="AG361" s="457"/>
      <c r="AH361" s="457"/>
      <c r="AI361" s="457"/>
      <c r="AJ361" s="457"/>
      <c r="AK361" s="457"/>
      <c r="AL361" s="457"/>
      <c r="AM361" s="457"/>
      <c r="AN361" s="457"/>
      <c r="AO361" s="457"/>
      <c r="AP361" s="457"/>
      <c r="AQ361" s="457"/>
      <c r="AR361" s="457"/>
      <c r="AS361" s="457"/>
      <c r="AT361" s="457"/>
      <c r="AU361" s="472">
        <f t="shared" si="23"/>
        <v>31700000</v>
      </c>
      <c r="AV361" s="472">
        <f t="shared" si="21"/>
        <v>31700000</v>
      </c>
      <c r="AW361" s="472">
        <f t="shared" si="22"/>
        <v>29500000</v>
      </c>
      <c r="AX361" s="475" t="s">
        <v>795</v>
      </c>
    </row>
    <row r="362" spans="1:129" s="332" customFormat="1" ht="75.75" customHeight="1" x14ac:dyDescent="0.25">
      <c r="A362" s="259">
        <v>318</v>
      </c>
      <c r="B362" s="325" t="s">
        <v>791</v>
      </c>
      <c r="C362" s="259"/>
      <c r="D362" s="325"/>
      <c r="E362" s="259">
        <v>1</v>
      </c>
      <c r="F362" s="325" t="s">
        <v>112</v>
      </c>
      <c r="G362" s="259">
        <v>19</v>
      </c>
      <c r="H362" s="385" t="s">
        <v>195</v>
      </c>
      <c r="I362" s="259">
        <v>1905</v>
      </c>
      <c r="J362" s="325" t="s">
        <v>847</v>
      </c>
      <c r="K362" s="282" t="s">
        <v>884</v>
      </c>
      <c r="L362" s="385" t="s">
        <v>173</v>
      </c>
      <c r="M362" s="281">
        <v>190501501</v>
      </c>
      <c r="N362" s="385" t="s">
        <v>885</v>
      </c>
      <c r="O362" s="272" t="s">
        <v>26</v>
      </c>
      <c r="P362" s="280">
        <v>1</v>
      </c>
      <c r="Q362" s="280">
        <v>0.5</v>
      </c>
      <c r="R362" s="271">
        <v>2024003630120</v>
      </c>
      <c r="S362" s="333" t="s">
        <v>886</v>
      </c>
      <c r="T362" s="328"/>
      <c r="U362" s="328"/>
      <c r="V362" s="328"/>
      <c r="W362" s="328"/>
      <c r="X362" s="328"/>
      <c r="Y362" s="328"/>
      <c r="Z362" s="404">
        <v>25000000</v>
      </c>
      <c r="AA362" s="404">
        <v>5000000</v>
      </c>
      <c r="AB362" s="404">
        <v>5000000</v>
      </c>
      <c r="AC362" s="328"/>
      <c r="AD362" s="328"/>
      <c r="AE362" s="328"/>
      <c r="AF362" s="328"/>
      <c r="AG362" s="328"/>
      <c r="AH362" s="328"/>
      <c r="AI362" s="328"/>
      <c r="AJ362" s="328"/>
      <c r="AK362" s="328"/>
      <c r="AL362" s="328"/>
      <c r="AM362" s="328"/>
      <c r="AN362" s="328"/>
      <c r="AO362" s="328"/>
      <c r="AP362" s="328"/>
      <c r="AQ362" s="328"/>
      <c r="AR362" s="328"/>
      <c r="AS362" s="328"/>
      <c r="AT362" s="328"/>
      <c r="AU362" s="328">
        <f t="shared" si="23"/>
        <v>25000000</v>
      </c>
      <c r="AV362" s="328">
        <f t="shared" si="21"/>
        <v>5000000</v>
      </c>
      <c r="AW362" s="328">
        <f t="shared" si="22"/>
        <v>5000000</v>
      </c>
      <c r="AX362" s="330" t="s">
        <v>795</v>
      </c>
      <c r="AY362" s="331"/>
      <c r="AZ362" s="331"/>
      <c r="BA362" s="331"/>
      <c r="BB362" s="331"/>
      <c r="BC362" s="331"/>
      <c r="BD362" s="331"/>
      <c r="BE362" s="331"/>
      <c r="BF362" s="331"/>
      <c r="BG362" s="331"/>
      <c r="BH362" s="331"/>
      <c r="BI362" s="331"/>
      <c r="BJ362" s="331"/>
      <c r="BK362" s="331"/>
      <c r="BL362" s="331"/>
      <c r="BM362" s="331"/>
      <c r="BN362" s="331"/>
      <c r="BO362" s="331"/>
      <c r="BP362" s="331"/>
      <c r="BQ362" s="331"/>
      <c r="BR362" s="331"/>
      <c r="BS362" s="331"/>
      <c r="BT362" s="331"/>
      <c r="BU362" s="331"/>
      <c r="BV362" s="331"/>
      <c r="BW362" s="331"/>
      <c r="BX362" s="331"/>
      <c r="BY362" s="331"/>
      <c r="BZ362" s="331"/>
      <c r="CA362" s="331"/>
      <c r="CB362" s="331"/>
      <c r="CC362" s="331"/>
      <c r="CD362" s="331"/>
      <c r="CE362" s="331"/>
      <c r="CF362" s="331"/>
      <c r="CG362" s="331"/>
      <c r="CH362" s="331"/>
      <c r="CI362" s="331"/>
      <c r="CJ362" s="331"/>
      <c r="CK362" s="331"/>
      <c r="CL362" s="331"/>
      <c r="CM362" s="331"/>
      <c r="CN362" s="331"/>
      <c r="CO362" s="331"/>
      <c r="CP362" s="331"/>
      <c r="CQ362" s="331"/>
      <c r="CR362" s="331"/>
      <c r="CS362" s="331"/>
      <c r="CT362" s="331"/>
      <c r="CU362" s="331"/>
      <c r="CV362" s="331"/>
      <c r="CW362" s="331"/>
      <c r="CX362" s="331"/>
      <c r="CY362" s="331"/>
      <c r="CZ362" s="331"/>
      <c r="DA362" s="331"/>
      <c r="DB362" s="331"/>
      <c r="DC362" s="331"/>
      <c r="DD362" s="331"/>
      <c r="DE362" s="331"/>
      <c r="DF362" s="331"/>
      <c r="DG362" s="331"/>
      <c r="DH362" s="331"/>
      <c r="DI362" s="331"/>
      <c r="DJ362" s="331"/>
      <c r="DK362" s="331"/>
      <c r="DL362" s="331"/>
      <c r="DM362" s="331"/>
      <c r="DN362" s="331"/>
      <c r="DO362" s="331"/>
      <c r="DP362" s="331"/>
      <c r="DQ362" s="331"/>
      <c r="DR362" s="331"/>
      <c r="DS362" s="331"/>
      <c r="DT362" s="331"/>
      <c r="DU362" s="331"/>
      <c r="DV362" s="331"/>
      <c r="DW362" s="331"/>
      <c r="DX362" s="331"/>
      <c r="DY362" s="331"/>
    </row>
    <row r="363" spans="1:129" s="332" customFormat="1" ht="89.25" x14ac:dyDescent="0.25">
      <c r="A363" s="259">
        <v>318</v>
      </c>
      <c r="B363" s="325" t="s">
        <v>791</v>
      </c>
      <c r="C363" s="259"/>
      <c r="D363" s="325"/>
      <c r="E363" s="259">
        <v>1</v>
      </c>
      <c r="F363" s="325" t="s">
        <v>112</v>
      </c>
      <c r="G363" s="259">
        <v>19</v>
      </c>
      <c r="H363" s="385" t="s">
        <v>195</v>
      </c>
      <c r="I363" s="259">
        <v>1905</v>
      </c>
      <c r="J363" s="325" t="s">
        <v>847</v>
      </c>
      <c r="K363" s="306">
        <v>1905020</v>
      </c>
      <c r="L363" s="385" t="s">
        <v>881</v>
      </c>
      <c r="M363" s="272">
        <v>190502000</v>
      </c>
      <c r="N363" s="333" t="s">
        <v>882</v>
      </c>
      <c r="O363" s="272" t="s">
        <v>26</v>
      </c>
      <c r="P363" s="280">
        <v>12</v>
      </c>
      <c r="Q363" s="280">
        <v>2</v>
      </c>
      <c r="R363" s="271">
        <v>2024003630120</v>
      </c>
      <c r="S363" s="333" t="s">
        <v>886</v>
      </c>
      <c r="T363" s="328"/>
      <c r="U363" s="328"/>
      <c r="V363" s="328"/>
      <c r="W363" s="328"/>
      <c r="X363" s="328"/>
      <c r="Y363" s="328"/>
      <c r="Z363" s="404">
        <v>10000000</v>
      </c>
      <c r="AA363" s="404">
        <v>10000000</v>
      </c>
      <c r="AB363" s="404">
        <v>3700000</v>
      </c>
      <c r="AC363" s="328"/>
      <c r="AD363" s="328"/>
      <c r="AE363" s="328"/>
      <c r="AF363" s="328"/>
      <c r="AG363" s="328"/>
      <c r="AH363" s="328"/>
      <c r="AI363" s="328"/>
      <c r="AJ363" s="328"/>
      <c r="AK363" s="328"/>
      <c r="AL363" s="328"/>
      <c r="AM363" s="328"/>
      <c r="AN363" s="328"/>
      <c r="AO363" s="328"/>
      <c r="AP363" s="328"/>
      <c r="AQ363" s="328"/>
      <c r="AR363" s="328"/>
      <c r="AS363" s="328"/>
      <c r="AT363" s="328"/>
      <c r="AU363" s="328">
        <f t="shared" si="23"/>
        <v>10000000</v>
      </c>
      <c r="AV363" s="328">
        <f t="shared" si="21"/>
        <v>10000000</v>
      </c>
      <c r="AW363" s="328">
        <f t="shared" si="22"/>
        <v>3700000</v>
      </c>
      <c r="AX363" s="330" t="s">
        <v>795</v>
      </c>
      <c r="AY363" s="331"/>
      <c r="AZ363" s="331"/>
      <c r="BA363" s="331"/>
      <c r="BB363" s="331"/>
      <c r="BC363" s="331"/>
      <c r="BD363" s="331"/>
      <c r="BE363" s="331"/>
      <c r="BF363" s="331"/>
      <c r="BG363" s="331"/>
      <c r="BH363" s="331"/>
      <c r="BI363" s="331"/>
      <c r="BJ363" s="331"/>
      <c r="BK363" s="331"/>
      <c r="BL363" s="331"/>
      <c r="BM363" s="331"/>
      <c r="BN363" s="331"/>
      <c r="BO363" s="331"/>
      <c r="BP363" s="331"/>
      <c r="BQ363" s="331"/>
      <c r="BR363" s="331"/>
      <c r="BS363" s="331"/>
      <c r="BT363" s="331"/>
      <c r="BU363" s="331"/>
      <c r="BV363" s="331"/>
      <c r="BW363" s="331"/>
      <c r="BX363" s="331"/>
      <c r="BY363" s="331"/>
      <c r="BZ363" s="331"/>
      <c r="CA363" s="331"/>
      <c r="CB363" s="331"/>
      <c r="CC363" s="331"/>
      <c r="CD363" s="331"/>
      <c r="CE363" s="331"/>
      <c r="CF363" s="331"/>
      <c r="CG363" s="331"/>
      <c r="CH363" s="331"/>
      <c r="CI363" s="331"/>
      <c r="CJ363" s="331"/>
      <c r="CK363" s="331"/>
      <c r="CL363" s="331"/>
      <c r="CM363" s="331"/>
      <c r="CN363" s="331"/>
      <c r="CO363" s="331"/>
      <c r="CP363" s="331"/>
      <c r="CQ363" s="331"/>
      <c r="CR363" s="331"/>
      <c r="CS363" s="331"/>
      <c r="CT363" s="331"/>
      <c r="CU363" s="331"/>
      <c r="CV363" s="331"/>
      <c r="CW363" s="331"/>
      <c r="CX363" s="331"/>
      <c r="CY363" s="331"/>
      <c r="CZ363" s="331"/>
      <c r="DA363" s="331"/>
      <c r="DB363" s="331"/>
      <c r="DC363" s="331"/>
      <c r="DD363" s="331"/>
      <c r="DE363" s="331"/>
      <c r="DF363" s="331"/>
      <c r="DG363" s="331"/>
      <c r="DH363" s="331"/>
      <c r="DI363" s="331"/>
      <c r="DJ363" s="331"/>
      <c r="DK363" s="331"/>
      <c r="DL363" s="331"/>
      <c r="DM363" s="331"/>
      <c r="DN363" s="331"/>
      <c r="DO363" s="331"/>
      <c r="DP363" s="331"/>
      <c r="DQ363" s="331"/>
      <c r="DR363" s="331"/>
      <c r="DS363" s="331"/>
      <c r="DT363" s="331"/>
      <c r="DU363" s="331"/>
      <c r="DV363" s="331"/>
      <c r="DW363" s="331"/>
      <c r="DX363" s="331"/>
      <c r="DY363" s="331"/>
    </row>
    <row r="364" spans="1:129" s="332" customFormat="1" ht="89.25" x14ac:dyDescent="0.25">
      <c r="A364" s="259">
        <v>318</v>
      </c>
      <c r="B364" s="325" t="s">
        <v>791</v>
      </c>
      <c r="C364" s="259"/>
      <c r="D364" s="325"/>
      <c r="E364" s="259">
        <v>1</v>
      </c>
      <c r="F364" s="325" t="s">
        <v>112</v>
      </c>
      <c r="G364" s="259">
        <v>19</v>
      </c>
      <c r="H364" s="385" t="s">
        <v>195</v>
      </c>
      <c r="I364" s="259">
        <v>1905</v>
      </c>
      <c r="J364" s="325" t="s">
        <v>847</v>
      </c>
      <c r="K364" s="306">
        <v>1905020</v>
      </c>
      <c r="L364" s="385" t="s">
        <v>881</v>
      </c>
      <c r="M364" s="272">
        <v>190502002</v>
      </c>
      <c r="N364" s="333" t="s">
        <v>887</v>
      </c>
      <c r="O364" s="272" t="s">
        <v>26</v>
      </c>
      <c r="P364" s="280">
        <v>12</v>
      </c>
      <c r="Q364" s="280">
        <v>5</v>
      </c>
      <c r="R364" s="271">
        <v>2024003630120</v>
      </c>
      <c r="S364" s="333" t="s">
        <v>886</v>
      </c>
      <c r="T364" s="328"/>
      <c r="U364" s="328"/>
      <c r="V364" s="328"/>
      <c r="W364" s="328"/>
      <c r="X364" s="328"/>
      <c r="Y364" s="328"/>
      <c r="Z364" s="404">
        <v>15000000</v>
      </c>
      <c r="AA364" s="404">
        <v>11100000</v>
      </c>
      <c r="AB364" s="404">
        <v>3700000</v>
      </c>
      <c r="AC364" s="328"/>
      <c r="AD364" s="328"/>
      <c r="AE364" s="328"/>
      <c r="AF364" s="328"/>
      <c r="AG364" s="328"/>
      <c r="AH364" s="328"/>
      <c r="AI364" s="328"/>
      <c r="AJ364" s="328"/>
      <c r="AK364" s="328"/>
      <c r="AL364" s="328"/>
      <c r="AM364" s="328"/>
      <c r="AN364" s="328"/>
      <c r="AO364" s="328"/>
      <c r="AP364" s="328"/>
      <c r="AQ364" s="328"/>
      <c r="AR364" s="328"/>
      <c r="AS364" s="328"/>
      <c r="AT364" s="328"/>
      <c r="AU364" s="328">
        <f t="shared" si="23"/>
        <v>15000000</v>
      </c>
      <c r="AV364" s="328">
        <f t="shared" si="21"/>
        <v>11100000</v>
      </c>
      <c r="AW364" s="328">
        <f t="shared" si="22"/>
        <v>3700000</v>
      </c>
      <c r="AX364" s="330" t="s">
        <v>795</v>
      </c>
      <c r="AY364" s="331"/>
      <c r="AZ364" s="331"/>
      <c r="BA364" s="331"/>
      <c r="BB364" s="331"/>
      <c r="BC364" s="331"/>
      <c r="BD364" s="331"/>
      <c r="BE364" s="331"/>
      <c r="BF364" s="331"/>
      <c r="BG364" s="331"/>
      <c r="BH364" s="331"/>
      <c r="BI364" s="331"/>
      <c r="BJ364" s="331"/>
      <c r="BK364" s="331"/>
      <c r="BL364" s="331"/>
      <c r="BM364" s="331"/>
      <c r="BN364" s="331"/>
      <c r="BO364" s="331"/>
      <c r="BP364" s="331"/>
      <c r="BQ364" s="331"/>
      <c r="BR364" s="331"/>
      <c r="BS364" s="331"/>
      <c r="BT364" s="331"/>
      <c r="BU364" s="331"/>
      <c r="BV364" s="331"/>
      <c r="BW364" s="331"/>
      <c r="BX364" s="331"/>
      <c r="BY364" s="331"/>
      <c r="BZ364" s="331"/>
      <c r="CA364" s="331"/>
      <c r="CB364" s="331"/>
      <c r="CC364" s="331"/>
      <c r="CD364" s="331"/>
      <c r="CE364" s="331"/>
      <c r="CF364" s="331"/>
      <c r="CG364" s="331"/>
      <c r="CH364" s="331"/>
      <c r="CI364" s="331"/>
      <c r="CJ364" s="331"/>
      <c r="CK364" s="331"/>
      <c r="CL364" s="331"/>
      <c r="CM364" s="331"/>
      <c r="CN364" s="331"/>
      <c r="CO364" s="331"/>
      <c r="CP364" s="331"/>
      <c r="CQ364" s="331"/>
      <c r="CR364" s="331"/>
      <c r="CS364" s="331"/>
      <c r="CT364" s="331"/>
      <c r="CU364" s="331"/>
      <c r="CV364" s="331"/>
      <c r="CW364" s="331"/>
      <c r="CX364" s="331"/>
      <c r="CY364" s="331"/>
      <c r="CZ364" s="331"/>
      <c r="DA364" s="331"/>
      <c r="DB364" s="331"/>
      <c r="DC364" s="331"/>
      <c r="DD364" s="331"/>
      <c r="DE364" s="331"/>
      <c r="DF364" s="331"/>
      <c r="DG364" s="331"/>
      <c r="DH364" s="331"/>
      <c r="DI364" s="331"/>
      <c r="DJ364" s="331"/>
      <c r="DK364" s="331"/>
      <c r="DL364" s="331"/>
      <c r="DM364" s="331"/>
      <c r="DN364" s="331"/>
      <c r="DO364" s="331"/>
      <c r="DP364" s="331"/>
      <c r="DQ364" s="331"/>
      <c r="DR364" s="331"/>
      <c r="DS364" s="331"/>
      <c r="DT364" s="331"/>
      <c r="DU364" s="331"/>
      <c r="DV364" s="331"/>
      <c r="DW364" s="331"/>
      <c r="DX364" s="331"/>
      <c r="DY364" s="331"/>
    </row>
    <row r="365" spans="1:129" s="332" customFormat="1" ht="76.5" x14ac:dyDescent="0.25">
      <c r="A365" s="259">
        <v>318</v>
      </c>
      <c r="B365" s="325" t="s">
        <v>791</v>
      </c>
      <c r="C365" s="259"/>
      <c r="D365" s="325"/>
      <c r="E365" s="259">
        <v>1</v>
      </c>
      <c r="F365" s="325" t="s">
        <v>112</v>
      </c>
      <c r="G365" s="259">
        <v>19</v>
      </c>
      <c r="H365" s="385" t="s">
        <v>195</v>
      </c>
      <c r="I365" s="343" t="s">
        <v>888</v>
      </c>
      <c r="J365" s="385" t="s">
        <v>683</v>
      </c>
      <c r="K365" s="306">
        <v>1905022</v>
      </c>
      <c r="L365" s="385" t="s">
        <v>687</v>
      </c>
      <c r="M365" s="272">
        <v>190502200</v>
      </c>
      <c r="N365" s="333" t="s">
        <v>681</v>
      </c>
      <c r="O365" s="272" t="s">
        <v>26</v>
      </c>
      <c r="P365" s="280">
        <v>12</v>
      </c>
      <c r="Q365" s="280">
        <v>6</v>
      </c>
      <c r="R365" s="271">
        <v>2024003630120</v>
      </c>
      <c r="S365" s="333" t="s">
        <v>886</v>
      </c>
      <c r="T365" s="328"/>
      <c r="U365" s="328"/>
      <c r="V365" s="328"/>
      <c r="W365" s="328"/>
      <c r="X365" s="328"/>
      <c r="Y365" s="328"/>
      <c r="Z365" s="404">
        <v>32300000</v>
      </c>
      <c r="AA365" s="404">
        <v>20000000</v>
      </c>
      <c r="AB365" s="404">
        <v>10000000</v>
      </c>
      <c r="AC365" s="328"/>
      <c r="AD365" s="328"/>
      <c r="AE365" s="328"/>
      <c r="AF365" s="328"/>
      <c r="AG365" s="328"/>
      <c r="AH365" s="328"/>
      <c r="AI365" s="328"/>
      <c r="AJ365" s="328"/>
      <c r="AK365" s="328"/>
      <c r="AL365" s="328"/>
      <c r="AM365" s="328"/>
      <c r="AN365" s="328"/>
      <c r="AO365" s="328"/>
      <c r="AP365" s="328"/>
      <c r="AQ365" s="328"/>
      <c r="AR365" s="328"/>
      <c r="AS365" s="328"/>
      <c r="AT365" s="328"/>
      <c r="AU365" s="328">
        <f t="shared" si="23"/>
        <v>32300000</v>
      </c>
      <c r="AV365" s="328">
        <f t="shared" si="21"/>
        <v>20000000</v>
      </c>
      <c r="AW365" s="328">
        <f t="shared" si="22"/>
        <v>10000000</v>
      </c>
      <c r="AX365" s="330" t="s">
        <v>795</v>
      </c>
      <c r="AY365" s="331"/>
      <c r="AZ365" s="331"/>
      <c r="BA365" s="331"/>
      <c r="BB365" s="331"/>
      <c r="BC365" s="331"/>
      <c r="BD365" s="331"/>
      <c r="BE365" s="331"/>
      <c r="BF365" s="331"/>
      <c r="BG365" s="331"/>
      <c r="BH365" s="331"/>
      <c r="BI365" s="331"/>
      <c r="BJ365" s="331"/>
      <c r="BK365" s="331"/>
      <c r="BL365" s="331"/>
      <c r="BM365" s="331"/>
      <c r="BN365" s="331"/>
      <c r="BO365" s="331"/>
      <c r="BP365" s="331"/>
      <c r="BQ365" s="331"/>
      <c r="BR365" s="331"/>
      <c r="BS365" s="331"/>
      <c r="BT365" s="331"/>
      <c r="BU365" s="331"/>
      <c r="BV365" s="331"/>
      <c r="BW365" s="331"/>
      <c r="BX365" s="331"/>
      <c r="BY365" s="331"/>
      <c r="BZ365" s="331"/>
      <c r="CA365" s="331"/>
      <c r="CB365" s="331"/>
      <c r="CC365" s="331"/>
      <c r="CD365" s="331"/>
      <c r="CE365" s="331"/>
      <c r="CF365" s="331"/>
      <c r="CG365" s="331"/>
      <c r="CH365" s="331"/>
      <c r="CI365" s="331"/>
      <c r="CJ365" s="331"/>
      <c r="CK365" s="331"/>
      <c r="CL365" s="331"/>
      <c r="CM365" s="331"/>
      <c r="CN365" s="331"/>
      <c r="CO365" s="331"/>
      <c r="CP365" s="331"/>
      <c r="CQ365" s="331"/>
      <c r="CR365" s="331"/>
      <c r="CS365" s="331"/>
      <c r="CT365" s="331"/>
      <c r="CU365" s="331"/>
      <c r="CV365" s="331"/>
      <c r="CW365" s="331"/>
      <c r="CX365" s="331"/>
      <c r="CY365" s="331"/>
      <c r="CZ365" s="331"/>
      <c r="DA365" s="331"/>
      <c r="DB365" s="331"/>
      <c r="DC365" s="331"/>
      <c r="DD365" s="331"/>
      <c r="DE365" s="331"/>
      <c r="DF365" s="331"/>
      <c r="DG365" s="331"/>
      <c r="DH365" s="331"/>
      <c r="DI365" s="331"/>
      <c r="DJ365" s="331"/>
      <c r="DK365" s="331"/>
      <c r="DL365" s="331"/>
      <c r="DM365" s="331"/>
      <c r="DN365" s="331"/>
      <c r="DO365" s="331"/>
      <c r="DP365" s="331"/>
      <c r="DQ365" s="331"/>
      <c r="DR365" s="331"/>
      <c r="DS365" s="331"/>
      <c r="DT365" s="331"/>
      <c r="DU365" s="331"/>
      <c r="DV365" s="331"/>
      <c r="DW365" s="331"/>
      <c r="DX365" s="331"/>
      <c r="DY365" s="331"/>
    </row>
    <row r="366" spans="1:129" s="332" customFormat="1" ht="76.5" x14ac:dyDescent="0.25">
      <c r="A366" s="259">
        <v>318</v>
      </c>
      <c r="B366" s="325" t="s">
        <v>791</v>
      </c>
      <c r="C366" s="259"/>
      <c r="D366" s="325"/>
      <c r="E366" s="259">
        <v>1</v>
      </c>
      <c r="F366" s="325" t="s">
        <v>112</v>
      </c>
      <c r="G366" s="259">
        <v>19</v>
      </c>
      <c r="H366" s="385" t="s">
        <v>195</v>
      </c>
      <c r="I366" s="343" t="s">
        <v>888</v>
      </c>
      <c r="J366" s="385" t="s">
        <v>683</v>
      </c>
      <c r="K366" s="306">
        <v>1905022</v>
      </c>
      <c r="L366" s="385" t="s">
        <v>687</v>
      </c>
      <c r="M366" s="272">
        <v>190502202</v>
      </c>
      <c r="N366" s="333" t="s">
        <v>889</v>
      </c>
      <c r="O366" s="272" t="s">
        <v>26</v>
      </c>
      <c r="P366" s="280">
        <v>11</v>
      </c>
      <c r="Q366" s="280">
        <v>5</v>
      </c>
      <c r="R366" s="271">
        <v>2024003630120</v>
      </c>
      <c r="S366" s="333" t="s">
        <v>886</v>
      </c>
      <c r="T366" s="328"/>
      <c r="U366" s="328"/>
      <c r="V366" s="328"/>
      <c r="W366" s="328"/>
      <c r="X366" s="328"/>
      <c r="Y366" s="328"/>
      <c r="Z366" s="404">
        <v>10000000</v>
      </c>
      <c r="AA366" s="404">
        <v>7816666</v>
      </c>
      <c r="AB366" s="404">
        <v>7200000</v>
      </c>
      <c r="AC366" s="328"/>
      <c r="AD366" s="328"/>
      <c r="AE366" s="328"/>
      <c r="AF366" s="328"/>
      <c r="AG366" s="328"/>
      <c r="AH366" s="328"/>
      <c r="AI366" s="328"/>
      <c r="AJ366" s="328"/>
      <c r="AK366" s="328"/>
      <c r="AL366" s="328"/>
      <c r="AM366" s="328"/>
      <c r="AN366" s="328"/>
      <c r="AO366" s="328"/>
      <c r="AP366" s="328"/>
      <c r="AQ366" s="328"/>
      <c r="AR366" s="328"/>
      <c r="AS366" s="328"/>
      <c r="AT366" s="328"/>
      <c r="AU366" s="328">
        <f t="shared" si="23"/>
        <v>10000000</v>
      </c>
      <c r="AV366" s="328">
        <f t="shared" si="21"/>
        <v>7816666</v>
      </c>
      <c r="AW366" s="328">
        <f t="shared" si="22"/>
        <v>7200000</v>
      </c>
      <c r="AX366" s="330" t="s">
        <v>795</v>
      </c>
      <c r="AY366" s="331"/>
      <c r="AZ366" s="331"/>
      <c r="BA366" s="331"/>
      <c r="BB366" s="331"/>
      <c r="BC366" s="331"/>
      <c r="BD366" s="331"/>
      <c r="BE366" s="331"/>
      <c r="BF366" s="331"/>
      <c r="BG366" s="331"/>
      <c r="BH366" s="331"/>
      <c r="BI366" s="331"/>
      <c r="BJ366" s="331"/>
      <c r="BK366" s="331"/>
      <c r="BL366" s="331"/>
      <c r="BM366" s="331"/>
      <c r="BN366" s="331"/>
      <c r="BO366" s="331"/>
      <c r="BP366" s="331"/>
      <c r="BQ366" s="331"/>
      <c r="BR366" s="331"/>
      <c r="BS366" s="331"/>
      <c r="BT366" s="331"/>
      <c r="BU366" s="331"/>
      <c r="BV366" s="331"/>
      <c r="BW366" s="331"/>
      <c r="BX366" s="331"/>
      <c r="BY366" s="331"/>
      <c r="BZ366" s="331"/>
      <c r="CA366" s="331"/>
      <c r="CB366" s="331"/>
      <c r="CC366" s="331"/>
      <c r="CD366" s="331"/>
      <c r="CE366" s="331"/>
      <c r="CF366" s="331"/>
      <c r="CG366" s="331"/>
      <c r="CH366" s="331"/>
      <c r="CI366" s="331"/>
      <c r="CJ366" s="331"/>
      <c r="CK366" s="331"/>
      <c r="CL366" s="331"/>
      <c r="CM366" s="331"/>
      <c r="CN366" s="331"/>
      <c r="CO366" s="331"/>
      <c r="CP366" s="331"/>
      <c r="CQ366" s="331"/>
      <c r="CR366" s="331"/>
      <c r="CS366" s="331"/>
      <c r="CT366" s="331"/>
      <c r="CU366" s="331"/>
      <c r="CV366" s="331"/>
      <c r="CW366" s="331"/>
      <c r="CX366" s="331"/>
      <c r="CY366" s="331"/>
      <c r="CZ366" s="331"/>
      <c r="DA366" s="331"/>
      <c r="DB366" s="331"/>
      <c r="DC366" s="331"/>
      <c r="DD366" s="331"/>
      <c r="DE366" s="331"/>
      <c r="DF366" s="331"/>
      <c r="DG366" s="331"/>
      <c r="DH366" s="331"/>
      <c r="DI366" s="331"/>
      <c r="DJ366" s="331"/>
      <c r="DK366" s="331"/>
      <c r="DL366" s="331"/>
      <c r="DM366" s="331"/>
      <c r="DN366" s="331"/>
      <c r="DO366" s="331"/>
      <c r="DP366" s="331"/>
      <c r="DQ366" s="331"/>
      <c r="DR366" s="331"/>
      <c r="DS366" s="331"/>
      <c r="DT366" s="331"/>
      <c r="DU366" s="331"/>
      <c r="DV366" s="331"/>
      <c r="DW366" s="331"/>
      <c r="DX366" s="331"/>
      <c r="DY366" s="331"/>
    </row>
    <row r="367" spans="1:129" s="332" customFormat="1" ht="51" x14ac:dyDescent="0.25">
      <c r="A367" s="259">
        <v>318</v>
      </c>
      <c r="B367" s="325" t="s">
        <v>791</v>
      </c>
      <c r="C367" s="259"/>
      <c r="D367" s="325"/>
      <c r="E367" s="259">
        <v>1</v>
      </c>
      <c r="F367" s="325" t="s">
        <v>112</v>
      </c>
      <c r="G367" s="259">
        <v>19</v>
      </c>
      <c r="H367" s="385" t="s">
        <v>195</v>
      </c>
      <c r="I367" s="343" t="s">
        <v>888</v>
      </c>
      <c r="J367" s="385" t="s">
        <v>683</v>
      </c>
      <c r="K367" s="306">
        <v>1905050</v>
      </c>
      <c r="L367" s="385" t="s">
        <v>69</v>
      </c>
      <c r="M367" s="272">
        <v>190505002</v>
      </c>
      <c r="N367" s="333" t="s">
        <v>84</v>
      </c>
      <c r="O367" s="272" t="s">
        <v>26</v>
      </c>
      <c r="P367" s="280">
        <v>12</v>
      </c>
      <c r="Q367" s="280">
        <v>2</v>
      </c>
      <c r="R367" s="271">
        <v>2024003630120</v>
      </c>
      <c r="S367" s="333" t="s">
        <v>886</v>
      </c>
      <c r="T367" s="328"/>
      <c r="U367" s="328"/>
      <c r="V367" s="328"/>
      <c r="W367" s="328"/>
      <c r="X367" s="328"/>
      <c r="Y367" s="328"/>
      <c r="Z367" s="404">
        <v>10000000</v>
      </c>
      <c r="AA367" s="404">
        <v>4666666</v>
      </c>
      <c r="AB367" s="404"/>
      <c r="AC367" s="328"/>
      <c r="AD367" s="328"/>
      <c r="AE367" s="328"/>
      <c r="AF367" s="328"/>
      <c r="AG367" s="328"/>
      <c r="AH367" s="328"/>
      <c r="AI367" s="328"/>
      <c r="AJ367" s="328"/>
      <c r="AK367" s="328"/>
      <c r="AL367" s="328"/>
      <c r="AM367" s="328"/>
      <c r="AN367" s="328"/>
      <c r="AO367" s="328"/>
      <c r="AP367" s="328"/>
      <c r="AQ367" s="328"/>
      <c r="AR367" s="328"/>
      <c r="AS367" s="328"/>
      <c r="AT367" s="328"/>
      <c r="AU367" s="467">
        <f t="shared" si="23"/>
        <v>10000000</v>
      </c>
      <c r="AV367" s="467">
        <f t="shared" si="21"/>
        <v>4666666</v>
      </c>
      <c r="AW367" s="467">
        <f t="shared" si="22"/>
        <v>0</v>
      </c>
      <c r="AX367" s="330" t="s">
        <v>795</v>
      </c>
      <c r="AY367" s="331"/>
      <c r="AZ367" s="331"/>
      <c r="BA367" s="331"/>
      <c r="BB367" s="331"/>
      <c r="BC367" s="331"/>
      <c r="BD367" s="331"/>
      <c r="BE367" s="331"/>
      <c r="BF367" s="331"/>
      <c r="BG367" s="331"/>
      <c r="BH367" s="331"/>
      <c r="BI367" s="331"/>
      <c r="BJ367" s="331"/>
      <c r="BK367" s="331"/>
      <c r="BL367" s="331"/>
      <c r="BM367" s="331"/>
      <c r="BN367" s="331"/>
      <c r="BO367" s="331"/>
      <c r="BP367" s="331"/>
      <c r="BQ367" s="331"/>
      <c r="BR367" s="331"/>
      <c r="BS367" s="331"/>
      <c r="BT367" s="331"/>
      <c r="BU367" s="331"/>
      <c r="BV367" s="331"/>
      <c r="BW367" s="331"/>
      <c r="BX367" s="331"/>
      <c r="BY367" s="331"/>
      <c r="BZ367" s="331"/>
      <c r="CA367" s="331"/>
      <c r="CB367" s="331"/>
      <c r="CC367" s="331"/>
      <c r="CD367" s="331"/>
      <c r="CE367" s="331"/>
      <c r="CF367" s="331"/>
      <c r="CG367" s="331"/>
      <c r="CH367" s="331"/>
      <c r="CI367" s="331"/>
      <c r="CJ367" s="331"/>
      <c r="CK367" s="331"/>
      <c r="CL367" s="331"/>
      <c r="CM367" s="331"/>
      <c r="CN367" s="331"/>
      <c r="CO367" s="331"/>
      <c r="CP367" s="331"/>
      <c r="CQ367" s="331"/>
      <c r="CR367" s="331"/>
      <c r="CS367" s="331"/>
      <c r="CT367" s="331"/>
      <c r="CU367" s="331"/>
      <c r="CV367" s="331"/>
      <c r="CW367" s="331"/>
      <c r="CX367" s="331"/>
      <c r="CY367" s="331"/>
      <c r="CZ367" s="331"/>
      <c r="DA367" s="331"/>
      <c r="DB367" s="331"/>
      <c r="DC367" s="331"/>
      <c r="DD367" s="331"/>
      <c r="DE367" s="331"/>
      <c r="DF367" s="331"/>
      <c r="DG367" s="331"/>
      <c r="DH367" s="331"/>
      <c r="DI367" s="331"/>
      <c r="DJ367" s="331"/>
      <c r="DK367" s="331"/>
      <c r="DL367" s="331"/>
      <c r="DM367" s="331"/>
      <c r="DN367" s="331"/>
      <c r="DO367" s="331"/>
      <c r="DP367" s="331"/>
      <c r="DQ367" s="331"/>
      <c r="DR367" s="331"/>
      <c r="DS367" s="331"/>
      <c r="DT367" s="331"/>
      <c r="DU367" s="331"/>
      <c r="DV367" s="331"/>
      <c r="DW367" s="331"/>
      <c r="DX367" s="331"/>
      <c r="DY367" s="331"/>
    </row>
    <row r="368" spans="1:129" s="331" customFormat="1" ht="102" x14ac:dyDescent="0.25">
      <c r="A368" s="257">
        <v>318</v>
      </c>
      <c r="B368" s="376" t="s">
        <v>791</v>
      </c>
      <c r="C368" s="257">
        <v>1</v>
      </c>
      <c r="D368" s="376" t="s">
        <v>105</v>
      </c>
      <c r="E368" s="257">
        <v>1</v>
      </c>
      <c r="F368" s="376" t="s">
        <v>112</v>
      </c>
      <c r="G368" s="257">
        <v>19</v>
      </c>
      <c r="H368" s="376" t="s">
        <v>195</v>
      </c>
      <c r="I368" s="257">
        <v>1905</v>
      </c>
      <c r="J368" s="376" t="s">
        <v>847</v>
      </c>
      <c r="K368" s="257">
        <v>1905031</v>
      </c>
      <c r="L368" s="376" t="s">
        <v>851</v>
      </c>
      <c r="M368" s="257">
        <v>190503100</v>
      </c>
      <c r="N368" s="388" t="s">
        <v>852</v>
      </c>
      <c r="O368" s="280" t="s">
        <v>26</v>
      </c>
      <c r="P368" s="280">
        <v>12</v>
      </c>
      <c r="Q368" s="280">
        <v>6</v>
      </c>
      <c r="R368" s="380">
        <v>2020003630126</v>
      </c>
      <c r="S368" s="392" t="s">
        <v>890</v>
      </c>
      <c r="T368" s="381"/>
      <c r="U368" s="381"/>
      <c r="V368" s="381"/>
      <c r="W368" s="381"/>
      <c r="X368" s="381"/>
      <c r="Y368" s="381"/>
      <c r="Z368" s="400">
        <f>110000000-65970001</f>
        <v>44029999</v>
      </c>
      <c r="AA368" s="400">
        <v>44029999</v>
      </c>
      <c r="AB368" s="400">
        <v>44029999</v>
      </c>
      <c r="AC368" s="381"/>
      <c r="AD368" s="381"/>
      <c r="AE368" s="381"/>
      <c r="AF368" s="381"/>
      <c r="AG368" s="381"/>
      <c r="AH368" s="381"/>
      <c r="AI368" s="381"/>
      <c r="AJ368" s="381"/>
      <c r="AK368" s="381"/>
      <c r="AL368" s="381"/>
      <c r="AM368" s="381"/>
      <c r="AN368" s="381"/>
      <c r="AO368" s="381"/>
      <c r="AP368" s="381"/>
      <c r="AQ368" s="381"/>
      <c r="AR368" s="381"/>
      <c r="AS368" s="381"/>
      <c r="AT368" s="381"/>
      <c r="AU368" s="381">
        <f t="shared" si="23"/>
        <v>44029999</v>
      </c>
      <c r="AV368" s="381">
        <f t="shared" si="21"/>
        <v>44029999</v>
      </c>
      <c r="AW368" s="381">
        <f t="shared" si="22"/>
        <v>44029999</v>
      </c>
      <c r="AX368" s="473" t="s">
        <v>795</v>
      </c>
    </row>
    <row r="369" spans="1:129" s="331" customFormat="1" ht="38.25" x14ac:dyDescent="0.25">
      <c r="A369" s="257">
        <v>318</v>
      </c>
      <c r="B369" s="376" t="s">
        <v>791</v>
      </c>
      <c r="C369" s="257">
        <v>1</v>
      </c>
      <c r="D369" s="376" t="s">
        <v>105</v>
      </c>
      <c r="E369" s="257">
        <v>1</v>
      </c>
      <c r="F369" s="376" t="s">
        <v>112</v>
      </c>
      <c r="G369" s="257">
        <v>19</v>
      </c>
      <c r="H369" s="376" t="s">
        <v>195</v>
      </c>
      <c r="I369" s="257">
        <v>1905</v>
      </c>
      <c r="J369" s="376" t="s">
        <v>847</v>
      </c>
      <c r="K369" s="257">
        <v>1905012</v>
      </c>
      <c r="L369" s="376" t="s">
        <v>891</v>
      </c>
      <c r="M369" s="280">
        <v>190501200</v>
      </c>
      <c r="N369" s="388" t="s">
        <v>891</v>
      </c>
      <c r="O369" s="280" t="s">
        <v>26</v>
      </c>
      <c r="P369" s="280">
        <v>1</v>
      </c>
      <c r="Q369" s="280">
        <v>1</v>
      </c>
      <c r="R369" s="380">
        <v>2020003630127</v>
      </c>
      <c r="S369" s="392" t="s">
        <v>892</v>
      </c>
      <c r="T369" s="381"/>
      <c r="U369" s="381"/>
      <c r="V369" s="381"/>
      <c r="W369" s="381"/>
      <c r="X369" s="381"/>
      <c r="Y369" s="381"/>
      <c r="Z369" s="381">
        <f>24000000+150000000-127066668</f>
        <v>46933332</v>
      </c>
      <c r="AA369" s="381">
        <v>46933332</v>
      </c>
      <c r="AB369" s="381">
        <v>46933332</v>
      </c>
      <c r="AC369" s="381"/>
      <c r="AD369" s="381"/>
      <c r="AE369" s="381"/>
      <c r="AF369" s="381"/>
      <c r="AG369" s="381"/>
      <c r="AH369" s="381"/>
      <c r="AI369" s="381"/>
      <c r="AJ369" s="381"/>
      <c r="AK369" s="381"/>
      <c r="AL369" s="400">
        <f>150000000-37430000</f>
        <v>112570000</v>
      </c>
      <c r="AM369" s="400">
        <v>104706000</v>
      </c>
      <c r="AN369" s="400">
        <v>97442800</v>
      </c>
      <c r="AO369" s="381"/>
      <c r="AP369" s="381"/>
      <c r="AQ369" s="381"/>
      <c r="AR369" s="381"/>
      <c r="AS369" s="381"/>
      <c r="AT369" s="381"/>
      <c r="AU369" s="381">
        <f t="shared" si="23"/>
        <v>159503332</v>
      </c>
      <c r="AV369" s="381">
        <f t="shared" si="21"/>
        <v>151639332</v>
      </c>
      <c r="AW369" s="381">
        <f t="shared" si="22"/>
        <v>144376132</v>
      </c>
      <c r="AX369" s="473" t="s">
        <v>795</v>
      </c>
    </row>
    <row r="370" spans="1:129" s="332" customFormat="1" ht="51" x14ac:dyDescent="0.25">
      <c r="A370" s="259">
        <v>318</v>
      </c>
      <c r="B370" s="325" t="s">
        <v>791</v>
      </c>
      <c r="C370" s="259"/>
      <c r="D370" s="325"/>
      <c r="E370" s="259">
        <v>1</v>
      </c>
      <c r="F370" s="325" t="s">
        <v>112</v>
      </c>
      <c r="G370" s="259">
        <v>19</v>
      </c>
      <c r="H370" s="385" t="s">
        <v>195</v>
      </c>
      <c r="I370" s="259">
        <v>1905</v>
      </c>
      <c r="J370" s="325" t="s">
        <v>683</v>
      </c>
      <c r="K370" s="259">
        <v>1905012</v>
      </c>
      <c r="L370" s="325" t="s">
        <v>891</v>
      </c>
      <c r="M370" s="272">
        <v>190501200</v>
      </c>
      <c r="N370" s="333" t="s">
        <v>891</v>
      </c>
      <c r="O370" s="272" t="s">
        <v>67</v>
      </c>
      <c r="P370" s="280">
        <v>1</v>
      </c>
      <c r="Q370" s="280">
        <v>0.2</v>
      </c>
      <c r="R370" s="281">
        <v>2024003630111</v>
      </c>
      <c r="S370" s="385" t="s">
        <v>893</v>
      </c>
      <c r="T370" s="328"/>
      <c r="U370" s="328"/>
      <c r="V370" s="328"/>
      <c r="W370" s="328"/>
      <c r="X370" s="328"/>
      <c r="Y370" s="328"/>
      <c r="Z370" s="328">
        <v>60066668</v>
      </c>
      <c r="AA370" s="328">
        <v>30146350</v>
      </c>
      <c r="AB370" s="328">
        <v>5400000</v>
      </c>
      <c r="AC370" s="328"/>
      <c r="AD370" s="328"/>
      <c r="AE370" s="328"/>
      <c r="AF370" s="328"/>
      <c r="AG370" s="328"/>
      <c r="AH370" s="328"/>
      <c r="AI370" s="328"/>
      <c r="AJ370" s="328"/>
      <c r="AK370" s="328"/>
      <c r="AL370" s="328"/>
      <c r="AM370" s="404"/>
      <c r="AN370" s="404"/>
      <c r="AO370" s="328"/>
      <c r="AP370" s="328"/>
      <c r="AQ370" s="328"/>
      <c r="AR370" s="328"/>
      <c r="AS370" s="328"/>
      <c r="AT370" s="328"/>
      <c r="AU370" s="328">
        <f t="shared" si="23"/>
        <v>60066668</v>
      </c>
      <c r="AV370" s="328">
        <f t="shared" si="21"/>
        <v>30146350</v>
      </c>
      <c r="AW370" s="328">
        <f t="shared" si="22"/>
        <v>5400000</v>
      </c>
      <c r="AX370" s="330" t="s">
        <v>795</v>
      </c>
      <c r="AY370" s="331"/>
      <c r="AZ370" s="331"/>
      <c r="BA370" s="331"/>
      <c r="BB370" s="331"/>
      <c r="BC370" s="331"/>
      <c r="BD370" s="331"/>
      <c r="BE370" s="331"/>
      <c r="BF370" s="331"/>
      <c r="BG370" s="331"/>
      <c r="BH370" s="331"/>
      <c r="BI370" s="331"/>
      <c r="BJ370" s="331"/>
      <c r="BK370" s="331"/>
      <c r="BL370" s="331"/>
      <c r="BM370" s="331"/>
      <c r="BN370" s="331"/>
      <c r="BO370" s="331"/>
      <c r="BP370" s="331"/>
      <c r="BQ370" s="331"/>
      <c r="BR370" s="331"/>
      <c r="BS370" s="331"/>
      <c r="BT370" s="331"/>
      <c r="BU370" s="331"/>
      <c r="BV370" s="331"/>
      <c r="BW370" s="331"/>
      <c r="BX370" s="331"/>
      <c r="BY370" s="331"/>
      <c r="BZ370" s="331"/>
      <c r="CA370" s="331"/>
      <c r="CB370" s="331"/>
      <c r="CC370" s="331"/>
      <c r="CD370" s="331"/>
      <c r="CE370" s="331"/>
      <c r="CF370" s="331"/>
      <c r="CG370" s="331"/>
      <c r="CH370" s="331"/>
      <c r="CI370" s="331"/>
      <c r="CJ370" s="331"/>
      <c r="CK370" s="331"/>
      <c r="CL370" s="331"/>
      <c r="CM370" s="331"/>
      <c r="CN370" s="331"/>
      <c r="CO370" s="331"/>
      <c r="CP370" s="331"/>
      <c r="CQ370" s="331"/>
      <c r="CR370" s="331"/>
      <c r="CS370" s="331"/>
      <c r="CT370" s="331"/>
      <c r="CU370" s="331"/>
      <c r="CV370" s="331"/>
      <c r="CW370" s="331"/>
      <c r="CX370" s="331"/>
      <c r="CY370" s="331"/>
      <c r="CZ370" s="331"/>
      <c r="DA370" s="331"/>
      <c r="DB370" s="331"/>
      <c r="DC370" s="331"/>
      <c r="DD370" s="331"/>
      <c r="DE370" s="331"/>
      <c r="DF370" s="331"/>
      <c r="DG370" s="331"/>
      <c r="DH370" s="331"/>
      <c r="DI370" s="331"/>
      <c r="DJ370" s="331"/>
      <c r="DK370" s="331"/>
      <c r="DL370" s="331"/>
      <c r="DM370" s="331"/>
      <c r="DN370" s="331"/>
      <c r="DO370" s="331"/>
      <c r="DP370" s="331"/>
      <c r="DQ370" s="331"/>
      <c r="DR370" s="331"/>
      <c r="DS370" s="331"/>
      <c r="DT370" s="331"/>
      <c r="DU370" s="331"/>
      <c r="DV370" s="331"/>
      <c r="DW370" s="331"/>
      <c r="DX370" s="331"/>
      <c r="DY370" s="331"/>
    </row>
    <row r="371" spans="1:129" s="332" customFormat="1" ht="51" x14ac:dyDescent="0.25">
      <c r="A371" s="259">
        <v>318</v>
      </c>
      <c r="B371" s="325" t="s">
        <v>791</v>
      </c>
      <c r="C371" s="259"/>
      <c r="D371" s="325"/>
      <c r="E371" s="259">
        <v>1</v>
      </c>
      <c r="F371" s="325" t="s">
        <v>112</v>
      </c>
      <c r="G371" s="259">
        <v>19</v>
      </c>
      <c r="H371" s="385" t="s">
        <v>195</v>
      </c>
      <c r="I371" s="259">
        <v>1905</v>
      </c>
      <c r="J371" s="325" t="s">
        <v>683</v>
      </c>
      <c r="K371" s="259">
        <v>1905013</v>
      </c>
      <c r="L371" s="325" t="s">
        <v>894</v>
      </c>
      <c r="M371" s="272">
        <v>190501300</v>
      </c>
      <c r="N371" s="333" t="s">
        <v>894</v>
      </c>
      <c r="O371" s="272" t="s">
        <v>26</v>
      </c>
      <c r="P371" s="280">
        <v>1</v>
      </c>
      <c r="Q371" s="280">
        <v>0.5</v>
      </c>
      <c r="R371" s="281">
        <v>2024003630111</v>
      </c>
      <c r="S371" s="385" t="s">
        <v>893</v>
      </c>
      <c r="T371" s="328"/>
      <c r="U371" s="328"/>
      <c r="V371" s="328"/>
      <c r="W371" s="328"/>
      <c r="X371" s="328"/>
      <c r="Y371" s="328"/>
      <c r="Z371" s="328">
        <v>15000000</v>
      </c>
      <c r="AA371" s="328"/>
      <c r="AB371" s="328"/>
      <c r="AC371" s="328"/>
      <c r="AD371" s="328"/>
      <c r="AE371" s="328"/>
      <c r="AF371" s="328"/>
      <c r="AG371" s="328"/>
      <c r="AH371" s="328"/>
      <c r="AI371" s="328"/>
      <c r="AJ371" s="328"/>
      <c r="AK371" s="328"/>
      <c r="AL371" s="328"/>
      <c r="AM371" s="404"/>
      <c r="AN371" s="404"/>
      <c r="AO371" s="328"/>
      <c r="AP371" s="328"/>
      <c r="AQ371" s="328"/>
      <c r="AR371" s="328"/>
      <c r="AS371" s="328"/>
      <c r="AT371" s="328"/>
      <c r="AU371" s="328">
        <f t="shared" si="23"/>
        <v>15000000</v>
      </c>
      <c r="AV371" s="328">
        <f t="shared" si="21"/>
        <v>0</v>
      </c>
      <c r="AW371" s="328">
        <f t="shared" si="22"/>
        <v>0</v>
      </c>
      <c r="AX371" s="330" t="s">
        <v>795</v>
      </c>
      <c r="AY371" s="331"/>
      <c r="AZ371" s="331"/>
      <c r="BA371" s="331"/>
      <c r="BB371" s="331"/>
      <c r="BC371" s="331"/>
      <c r="BD371" s="331"/>
      <c r="BE371" s="331"/>
      <c r="BF371" s="331"/>
      <c r="BG371" s="331"/>
      <c r="BH371" s="331"/>
      <c r="BI371" s="331"/>
      <c r="BJ371" s="331"/>
      <c r="BK371" s="331"/>
      <c r="BL371" s="331"/>
      <c r="BM371" s="331"/>
      <c r="BN371" s="331"/>
      <c r="BO371" s="331"/>
      <c r="BP371" s="331"/>
      <c r="BQ371" s="331"/>
      <c r="BR371" s="331"/>
      <c r="BS371" s="331"/>
      <c r="BT371" s="331"/>
      <c r="BU371" s="331"/>
      <c r="BV371" s="331"/>
      <c r="BW371" s="331"/>
      <c r="BX371" s="331"/>
      <c r="BY371" s="331"/>
      <c r="BZ371" s="331"/>
      <c r="CA371" s="331"/>
      <c r="CB371" s="331"/>
      <c r="CC371" s="331"/>
      <c r="CD371" s="331"/>
      <c r="CE371" s="331"/>
      <c r="CF371" s="331"/>
      <c r="CG371" s="331"/>
      <c r="CH371" s="331"/>
      <c r="CI371" s="331"/>
      <c r="CJ371" s="331"/>
      <c r="CK371" s="331"/>
      <c r="CL371" s="331"/>
      <c r="CM371" s="331"/>
      <c r="CN371" s="331"/>
      <c r="CO371" s="331"/>
      <c r="CP371" s="331"/>
      <c r="CQ371" s="331"/>
      <c r="CR371" s="331"/>
      <c r="CS371" s="331"/>
      <c r="CT371" s="331"/>
      <c r="CU371" s="331"/>
      <c r="CV371" s="331"/>
      <c r="CW371" s="331"/>
      <c r="CX371" s="331"/>
      <c r="CY371" s="331"/>
      <c r="CZ371" s="331"/>
      <c r="DA371" s="331"/>
      <c r="DB371" s="331"/>
      <c r="DC371" s="331"/>
      <c r="DD371" s="331"/>
      <c r="DE371" s="331"/>
      <c r="DF371" s="331"/>
      <c r="DG371" s="331"/>
      <c r="DH371" s="331"/>
      <c r="DI371" s="331"/>
      <c r="DJ371" s="331"/>
      <c r="DK371" s="331"/>
      <c r="DL371" s="331"/>
      <c r="DM371" s="331"/>
      <c r="DN371" s="331"/>
      <c r="DO371" s="331"/>
      <c r="DP371" s="331"/>
      <c r="DQ371" s="331"/>
      <c r="DR371" s="331"/>
      <c r="DS371" s="331"/>
      <c r="DT371" s="331"/>
      <c r="DU371" s="331"/>
      <c r="DV371" s="331"/>
      <c r="DW371" s="331"/>
      <c r="DX371" s="331"/>
      <c r="DY371" s="331"/>
    </row>
    <row r="372" spans="1:129" s="331" customFormat="1" ht="89.25" x14ac:dyDescent="0.25">
      <c r="A372" s="257">
        <v>318</v>
      </c>
      <c r="B372" s="376" t="s">
        <v>791</v>
      </c>
      <c r="C372" s="257">
        <v>1</v>
      </c>
      <c r="D372" s="376" t="s">
        <v>105</v>
      </c>
      <c r="E372" s="257">
        <v>1</v>
      </c>
      <c r="F372" s="376" t="s">
        <v>112</v>
      </c>
      <c r="G372" s="257">
        <v>19</v>
      </c>
      <c r="H372" s="376" t="s">
        <v>195</v>
      </c>
      <c r="I372" s="257">
        <v>1905</v>
      </c>
      <c r="J372" s="376" t="s">
        <v>847</v>
      </c>
      <c r="K372" s="257">
        <v>1905026</v>
      </c>
      <c r="L372" s="376" t="s">
        <v>858</v>
      </c>
      <c r="M372" s="280">
        <v>190502600</v>
      </c>
      <c r="N372" s="388" t="s">
        <v>895</v>
      </c>
      <c r="O372" s="280" t="s">
        <v>26</v>
      </c>
      <c r="P372" s="280">
        <v>12</v>
      </c>
      <c r="Q372" s="280">
        <v>6</v>
      </c>
      <c r="R372" s="380">
        <v>2020003630127</v>
      </c>
      <c r="S372" s="392" t="s">
        <v>892</v>
      </c>
      <c r="T372" s="381"/>
      <c r="U372" s="381"/>
      <c r="V372" s="381"/>
      <c r="W372" s="381"/>
      <c r="X372" s="381"/>
      <c r="Y372" s="381"/>
      <c r="Z372" s="381">
        <f>84000000-50480000</f>
        <v>33520000</v>
      </c>
      <c r="AA372" s="381">
        <v>33520000</v>
      </c>
      <c r="AB372" s="381">
        <v>33520000</v>
      </c>
      <c r="AC372" s="381"/>
      <c r="AD372" s="381"/>
      <c r="AE372" s="381"/>
      <c r="AF372" s="381"/>
      <c r="AG372" s="381"/>
      <c r="AH372" s="381"/>
      <c r="AI372" s="381"/>
      <c r="AJ372" s="381"/>
      <c r="AK372" s="381"/>
      <c r="AL372" s="400"/>
      <c r="AM372" s="400"/>
      <c r="AN372" s="400"/>
      <c r="AO372" s="381"/>
      <c r="AP372" s="381"/>
      <c r="AQ372" s="381"/>
      <c r="AR372" s="381"/>
      <c r="AS372" s="381"/>
      <c r="AT372" s="381"/>
      <c r="AU372" s="381">
        <f t="shared" si="23"/>
        <v>33520000</v>
      </c>
      <c r="AV372" s="381">
        <f t="shared" si="21"/>
        <v>33520000</v>
      </c>
      <c r="AW372" s="381">
        <f t="shared" si="22"/>
        <v>33520000</v>
      </c>
      <c r="AX372" s="473" t="s">
        <v>795</v>
      </c>
    </row>
    <row r="373" spans="1:129" s="332" customFormat="1" ht="51" x14ac:dyDescent="0.25">
      <c r="A373" s="259">
        <v>318</v>
      </c>
      <c r="B373" s="325" t="s">
        <v>791</v>
      </c>
      <c r="C373" s="259"/>
      <c r="D373" s="325"/>
      <c r="E373" s="259">
        <v>1</v>
      </c>
      <c r="F373" s="325" t="s">
        <v>112</v>
      </c>
      <c r="G373" s="259">
        <v>19</v>
      </c>
      <c r="H373" s="385" t="s">
        <v>195</v>
      </c>
      <c r="I373" s="259">
        <v>1903</v>
      </c>
      <c r="J373" s="325" t="s">
        <v>196</v>
      </c>
      <c r="K373" s="259">
        <v>1903016</v>
      </c>
      <c r="L373" s="325" t="s">
        <v>825</v>
      </c>
      <c r="M373" s="272">
        <v>190301600</v>
      </c>
      <c r="N373" s="333" t="s">
        <v>896</v>
      </c>
      <c r="O373" s="272" t="s">
        <v>67</v>
      </c>
      <c r="P373" s="272">
        <v>61</v>
      </c>
      <c r="Q373" s="272">
        <v>9</v>
      </c>
      <c r="R373" s="281">
        <v>2024003630112</v>
      </c>
      <c r="S373" s="325" t="s">
        <v>819</v>
      </c>
      <c r="T373" s="328"/>
      <c r="U373" s="328"/>
      <c r="V373" s="328"/>
      <c r="W373" s="328"/>
      <c r="X373" s="328"/>
      <c r="Y373" s="328"/>
      <c r="Z373" s="328">
        <f>46600000-46600000</f>
        <v>0</v>
      </c>
      <c r="AA373" s="328"/>
      <c r="AB373" s="328"/>
      <c r="AC373" s="328"/>
      <c r="AD373" s="328"/>
      <c r="AE373" s="328"/>
      <c r="AF373" s="328"/>
      <c r="AG373" s="328"/>
      <c r="AH373" s="328"/>
      <c r="AI373" s="328"/>
      <c r="AJ373" s="328"/>
      <c r="AK373" s="328"/>
      <c r="AL373" s="328">
        <f>46600000-30000000</f>
        <v>16600000</v>
      </c>
      <c r="AM373" s="328">
        <v>6166666</v>
      </c>
      <c r="AN373" s="328"/>
      <c r="AO373" s="328"/>
      <c r="AP373" s="328"/>
      <c r="AQ373" s="328"/>
      <c r="AR373" s="328"/>
      <c r="AS373" s="328"/>
      <c r="AT373" s="328"/>
      <c r="AU373" s="328">
        <f t="shared" si="23"/>
        <v>16600000</v>
      </c>
      <c r="AV373" s="328">
        <f t="shared" si="21"/>
        <v>6166666</v>
      </c>
      <c r="AW373" s="328">
        <f t="shared" si="22"/>
        <v>0</v>
      </c>
      <c r="AX373" s="330" t="s">
        <v>795</v>
      </c>
      <c r="AY373" s="331"/>
      <c r="AZ373" s="331"/>
      <c r="BA373" s="331"/>
      <c r="BB373" s="331"/>
      <c r="BC373" s="331"/>
      <c r="BD373" s="331"/>
      <c r="BE373" s="331"/>
      <c r="BF373" s="331"/>
      <c r="BG373" s="331"/>
      <c r="BH373" s="331"/>
      <c r="BI373" s="331"/>
      <c r="BJ373" s="331"/>
      <c r="BK373" s="331"/>
      <c r="BL373" s="331"/>
      <c r="BM373" s="331"/>
      <c r="BN373" s="331"/>
      <c r="BO373" s="331"/>
      <c r="BP373" s="331"/>
      <c r="BQ373" s="331"/>
      <c r="BR373" s="331"/>
      <c r="BS373" s="331"/>
      <c r="BT373" s="331"/>
      <c r="BU373" s="331"/>
      <c r="BV373" s="331"/>
      <c r="BW373" s="331"/>
      <c r="BX373" s="331"/>
      <c r="BY373" s="331"/>
      <c r="BZ373" s="331"/>
      <c r="CA373" s="331"/>
      <c r="CB373" s="331"/>
      <c r="CC373" s="331"/>
      <c r="CD373" s="331"/>
      <c r="CE373" s="331"/>
      <c r="CF373" s="331"/>
      <c r="CG373" s="331"/>
      <c r="CH373" s="331"/>
      <c r="CI373" s="331"/>
      <c r="CJ373" s="331"/>
      <c r="CK373" s="331"/>
      <c r="CL373" s="331"/>
      <c r="CM373" s="331"/>
      <c r="CN373" s="331"/>
      <c r="CO373" s="331"/>
      <c r="CP373" s="331"/>
      <c r="CQ373" s="331"/>
      <c r="CR373" s="331"/>
      <c r="CS373" s="331"/>
      <c r="CT373" s="331"/>
      <c r="CU373" s="331"/>
      <c r="CV373" s="331"/>
      <c r="CW373" s="331"/>
      <c r="CX373" s="331"/>
      <c r="CY373" s="331"/>
      <c r="CZ373" s="331"/>
      <c r="DA373" s="331"/>
      <c r="DB373" s="331"/>
      <c r="DC373" s="331"/>
      <c r="DD373" s="331"/>
      <c r="DE373" s="331"/>
      <c r="DF373" s="331"/>
      <c r="DG373" s="331"/>
      <c r="DH373" s="331"/>
      <c r="DI373" s="331"/>
      <c r="DJ373" s="331"/>
      <c r="DK373" s="331"/>
      <c r="DL373" s="331"/>
      <c r="DM373" s="331"/>
      <c r="DN373" s="331"/>
      <c r="DO373" s="331"/>
      <c r="DP373" s="331"/>
      <c r="DQ373" s="331"/>
      <c r="DR373" s="331"/>
      <c r="DS373" s="331"/>
      <c r="DT373" s="331"/>
      <c r="DU373" s="331"/>
      <c r="DV373" s="331"/>
      <c r="DW373" s="331"/>
      <c r="DX373" s="331"/>
      <c r="DY373" s="331"/>
    </row>
    <row r="374" spans="1:129" s="332" customFormat="1" ht="89.25" x14ac:dyDescent="0.25">
      <c r="A374" s="259">
        <v>318</v>
      </c>
      <c r="B374" s="325" t="s">
        <v>791</v>
      </c>
      <c r="C374" s="259"/>
      <c r="D374" s="325"/>
      <c r="E374" s="259">
        <v>1</v>
      </c>
      <c r="F374" s="325" t="s">
        <v>112</v>
      </c>
      <c r="G374" s="259">
        <v>19</v>
      </c>
      <c r="H374" s="385" t="s">
        <v>195</v>
      </c>
      <c r="I374" s="259">
        <v>1905</v>
      </c>
      <c r="J374" s="325" t="s">
        <v>683</v>
      </c>
      <c r="K374" s="259">
        <v>1905026</v>
      </c>
      <c r="L374" s="325" t="s">
        <v>858</v>
      </c>
      <c r="M374" s="272">
        <v>190502600</v>
      </c>
      <c r="N374" s="333" t="s">
        <v>897</v>
      </c>
      <c r="O374" s="272" t="s">
        <v>26</v>
      </c>
      <c r="P374" s="280">
        <v>11</v>
      </c>
      <c r="Q374" s="280">
        <v>10</v>
      </c>
      <c r="R374" s="281">
        <v>2024003630111</v>
      </c>
      <c r="S374" s="385" t="s">
        <v>893</v>
      </c>
      <c r="T374" s="328"/>
      <c r="U374" s="328"/>
      <c r="V374" s="328"/>
      <c r="W374" s="328"/>
      <c r="X374" s="328"/>
      <c r="Y374" s="328"/>
      <c r="Z374" s="328">
        <v>94843557</v>
      </c>
      <c r="AA374" s="328">
        <v>72266666</v>
      </c>
      <c r="AB374" s="328">
        <v>44100000</v>
      </c>
      <c r="AC374" s="328"/>
      <c r="AD374" s="328"/>
      <c r="AE374" s="328"/>
      <c r="AF374" s="328"/>
      <c r="AG374" s="328"/>
      <c r="AH374" s="328"/>
      <c r="AI374" s="328"/>
      <c r="AJ374" s="328"/>
      <c r="AK374" s="328"/>
      <c r="AL374" s="404"/>
      <c r="AM374" s="404"/>
      <c r="AN374" s="404"/>
      <c r="AO374" s="328"/>
      <c r="AP374" s="328"/>
      <c r="AQ374" s="328"/>
      <c r="AR374" s="328"/>
      <c r="AS374" s="328"/>
      <c r="AT374" s="328"/>
      <c r="AU374" s="328">
        <f t="shared" si="23"/>
        <v>94843557</v>
      </c>
      <c r="AV374" s="328">
        <f t="shared" si="21"/>
        <v>72266666</v>
      </c>
      <c r="AW374" s="328">
        <f t="shared" si="22"/>
        <v>44100000</v>
      </c>
      <c r="AX374" s="330" t="s">
        <v>795</v>
      </c>
      <c r="AY374" s="331"/>
      <c r="AZ374" s="331"/>
      <c r="BA374" s="331"/>
      <c r="BB374" s="331"/>
      <c r="BC374" s="331"/>
      <c r="BD374" s="331"/>
      <c r="BE374" s="331"/>
      <c r="BF374" s="331"/>
      <c r="BG374" s="331"/>
      <c r="BH374" s="331"/>
      <c r="BI374" s="331"/>
      <c r="BJ374" s="331"/>
      <c r="BK374" s="331"/>
      <c r="BL374" s="331"/>
      <c r="BM374" s="331"/>
      <c r="BN374" s="331"/>
      <c r="BO374" s="331"/>
      <c r="BP374" s="331"/>
      <c r="BQ374" s="331"/>
      <c r="BR374" s="331"/>
      <c r="BS374" s="331"/>
      <c r="BT374" s="331"/>
      <c r="BU374" s="331"/>
      <c r="BV374" s="331"/>
      <c r="BW374" s="331"/>
      <c r="BX374" s="331"/>
      <c r="BY374" s="331"/>
      <c r="BZ374" s="331"/>
      <c r="CA374" s="331"/>
      <c r="CB374" s="331"/>
      <c r="CC374" s="331"/>
      <c r="CD374" s="331"/>
      <c r="CE374" s="331"/>
      <c r="CF374" s="331"/>
      <c r="CG374" s="331"/>
      <c r="CH374" s="331"/>
      <c r="CI374" s="331"/>
      <c r="CJ374" s="331"/>
      <c r="CK374" s="331"/>
      <c r="CL374" s="331"/>
      <c r="CM374" s="331"/>
      <c r="CN374" s="331"/>
      <c r="CO374" s="331"/>
      <c r="CP374" s="331"/>
      <c r="CQ374" s="331"/>
      <c r="CR374" s="331"/>
      <c r="CS374" s="331"/>
      <c r="CT374" s="331"/>
      <c r="CU374" s="331"/>
      <c r="CV374" s="331"/>
      <c r="CW374" s="331"/>
      <c r="CX374" s="331"/>
      <c r="CY374" s="331"/>
      <c r="CZ374" s="331"/>
      <c r="DA374" s="331"/>
      <c r="DB374" s="331"/>
      <c r="DC374" s="331"/>
      <c r="DD374" s="331"/>
      <c r="DE374" s="331"/>
      <c r="DF374" s="331"/>
      <c r="DG374" s="331"/>
      <c r="DH374" s="331"/>
      <c r="DI374" s="331"/>
      <c r="DJ374" s="331"/>
      <c r="DK374" s="331"/>
      <c r="DL374" s="331"/>
      <c r="DM374" s="331"/>
      <c r="DN374" s="331"/>
      <c r="DO374" s="331"/>
      <c r="DP374" s="331"/>
      <c r="DQ374" s="331"/>
      <c r="DR374" s="331"/>
      <c r="DS374" s="331"/>
      <c r="DT374" s="331"/>
      <c r="DU374" s="331"/>
      <c r="DV374" s="331"/>
      <c r="DW374" s="331"/>
      <c r="DX374" s="331"/>
      <c r="DY374" s="331"/>
    </row>
    <row r="375" spans="1:129" s="331" customFormat="1" ht="63.75" x14ac:dyDescent="0.25">
      <c r="A375" s="257">
        <v>318</v>
      </c>
      <c r="B375" s="376" t="s">
        <v>791</v>
      </c>
      <c r="C375" s="257">
        <v>1</v>
      </c>
      <c r="D375" s="376" t="s">
        <v>105</v>
      </c>
      <c r="E375" s="257">
        <v>1</v>
      </c>
      <c r="F375" s="376" t="s">
        <v>112</v>
      </c>
      <c r="G375" s="257">
        <v>19</v>
      </c>
      <c r="H375" s="376" t="s">
        <v>195</v>
      </c>
      <c r="I375" s="257">
        <v>1905</v>
      </c>
      <c r="J375" s="376" t="s">
        <v>847</v>
      </c>
      <c r="K375" s="257">
        <v>1905027</v>
      </c>
      <c r="L375" s="376" t="s">
        <v>898</v>
      </c>
      <c r="M375" s="280">
        <v>190502700</v>
      </c>
      <c r="N375" s="388" t="s">
        <v>899</v>
      </c>
      <c r="O375" s="280" t="s">
        <v>26</v>
      </c>
      <c r="P375" s="280">
        <v>12</v>
      </c>
      <c r="Q375" s="280">
        <v>3</v>
      </c>
      <c r="R375" s="380">
        <v>2020003630127</v>
      </c>
      <c r="S375" s="376" t="s">
        <v>892</v>
      </c>
      <c r="T375" s="381"/>
      <c r="U375" s="381"/>
      <c r="V375" s="381"/>
      <c r="W375" s="381"/>
      <c r="X375" s="381"/>
      <c r="Y375" s="381"/>
      <c r="Z375" s="381">
        <f>90000000+100000000-170000000</f>
        <v>20000000</v>
      </c>
      <c r="AA375" s="381">
        <v>20000000</v>
      </c>
      <c r="AB375" s="381">
        <v>20000000</v>
      </c>
      <c r="AC375" s="381"/>
      <c r="AD375" s="381"/>
      <c r="AE375" s="381"/>
      <c r="AF375" s="381"/>
      <c r="AG375" s="381"/>
      <c r="AH375" s="381"/>
      <c r="AI375" s="381"/>
      <c r="AJ375" s="381"/>
      <c r="AK375" s="381"/>
      <c r="AL375" s="400"/>
      <c r="AM375" s="400"/>
      <c r="AN375" s="400"/>
      <c r="AO375" s="381"/>
      <c r="AP375" s="381"/>
      <c r="AQ375" s="381"/>
      <c r="AR375" s="381"/>
      <c r="AS375" s="381"/>
      <c r="AT375" s="381"/>
      <c r="AU375" s="381">
        <f t="shared" si="23"/>
        <v>20000000</v>
      </c>
      <c r="AV375" s="381">
        <f t="shared" si="21"/>
        <v>20000000</v>
      </c>
      <c r="AW375" s="381">
        <f t="shared" si="22"/>
        <v>20000000</v>
      </c>
      <c r="AX375" s="473" t="s">
        <v>795</v>
      </c>
    </row>
    <row r="376" spans="1:129" s="332" customFormat="1" ht="63.75" x14ac:dyDescent="0.25">
      <c r="A376" s="259">
        <v>318</v>
      </c>
      <c r="B376" s="325" t="s">
        <v>791</v>
      </c>
      <c r="C376" s="259"/>
      <c r="D376" s="325"/>
      <c r="E376" s="259">
        <v>1</v>
      </c>
      <c r="F376" s="325" t="s">
        <v>112</v>
      </c>
      <c r="G376" s="259">
        <v>19</v>
      </c>
      <c r="H376" s="385" t="s">
        <v>195</v>
      </c>
      <c r="I376" s="259">
        <v>1905</v>
      </c>
      <c r="J376" s="325" t="s">
        <v>683</v>
      </c>
      <c r="K376" s="259">
        <v>1905027</v>
      </c>
      <c r="L376" s="325" t="s">
        <v>898</v>
      </c>
      <c r="M376" s="272">
        <v>190502700</v>
      </c>
      <c r="N376" s="333" t="s">
        <v>899</v>
      </c>
      <c r="O376" s="272" t="s">
        <v>26</v>
      </c>
      <c r="P376" s="280">
        <v>11</v>
      </c>
      <c r="Q376" s="280">
        <v>11</v>
      </c>
      <c r="R376" s="281">
        <v>2024003630111</v>
      </c>
      <c r="S376" s="325" t="s">
        <v>893</v>
      </c>
      <c r="T376" s="328"/>
      <c r="U376" s="328"/>
      <c r="V376" s="328"/>
      <c r="W376" s="328"/>
      <c r="X376" s="328"/>
      <c r="Y376" s="328"/>
      <c r="Z376" s="328">
        <v>50000000</v>
      </c>
      <c r="AA376" s="328">
        <v>14183333</v>
      </c>
      <c r="AB376" s="328">
        <v>7400000</v>
      </c>
      <c r="AC376" s="328"/>
      <c r="AD376" s="328"/>
      <c r="AE376" s="328"/>
      <c r="AF376" s="328"/>
      <c r="AG376" s="328"/>
      <c r="AH376" s="328"/>
      <c r="AI376" s="328"/>
      <c r="AJ376" s="328"/>
      <c r="AK376" s="328"/>
      <c r="AL376" s="404"/>
      <c r="AM376" s="404"/>
      <c r="AN376" s="404"/>
      <c r="AO376" s="328"/>
      <c r="AP376" s="328"/>
      <c r="AQ376" s="328"/>
      <c r="AR376" s="328"/>
      <c r="AS376" s="328"/>
      <c r="AT376" s="328"/>
      <c r="AU376" s="328">
        <f t="shared" si="23"/>
        <v>50000000</v>
      </c>
      <c r="AV376" s="328">
        <f t="shared" si="21"/>
        <v>14183333</v>
      </c>
      <c r="AW376" s="328">
        <f t="shared" si="22"/>
        <v>7400000</v>
      </c>
      <c r="AX376" s="330" t="s">
        <v>795</v>
      </c>
      <c r="AY376" s="331"/>
      <c r="AZ376" s="331"/>
      <c r="BA376" s="331"/>
      <c r="BB376" s="331"/>
      <c r="BC376" s="331"/>
      <c r="BD376" s="331"/>
      <c r="BE376" s="331"/>
      <c r="BF376" s="331"/>
      <c r="BG376" s="331"/>
      <c r="BH376" s="331"/>
      <c r="BI376" s="331"/>
      <c r="BJ376" s="331"/>
      <c r="BK376" s="331"/>
      <c r="BL376" s="331"/>
      <c r="BM376" s="331"/>
      <c r="BN376" s="331"/>
      <c r="BO376" s="331"/>
      <c r="BP376" s="331"/>
      <c r="BQ376" s="331"/>
      <c r="BR376" s="331"/>
      <c r="BS376" s="331"/>
      <c r="BT376" s="331"/>
      <c r="BU376" s="331"/>
      <c r="BV376" s="331"/>
      <c r="BW376" s="331"/>
      <c r="BX376" s="331"/>
      <c r="BY376" s="331"/>
      <c r="BZ376" s="331"/>
      <c r="CA376" s="331"/>
      <c r="CB376" s="331"/>
      <c r="CC376" s="331"/>
      <c r="CD376" s="331"/>
      <c r="CE376" s="331"/>
      <c r="CF376" s="331"/>
      <c r="CG376" s="331"/>
      <c r="CH376" s="331"/>
      <c r="CI376" s="331"/>
      <c r="CJ376" s="331"/>
      <c r="CK376" s="331"/>
      <c r="CL376" s="331"/>
      <c r="CM376" s="331"/>
      <c r="CN376" s="331"/>
      <c r="CO376" s="331"/>
      <c r="CP376" s="331"/>
      <c r="CQ376" s="331"/>
      <c r="CR376" s="331"/>
      <c r="CS376" s="331"/>
      <c r="CT376" s="331"/>
      <c r="CU376" s="331"/>
      <c r="CV376" s="331"/>
      <c r="CW376" s="331"/>
      <c r="CX376" s="331"/>
      <c r="CY376" s="331"/>
      <c r="CZ376" s="331"/>
      <c r="DA376" s="331"/>
      <c r="DB376" s="331"/>
      <c r="DC376" s="331"/>
      <c r="DD376" s="331"/>
      <c r="DE376" s="331"/>
      <c r="DF376" s="331"/>
      <c r="DG376" s="331"/>
      <c r="DH376" s="331"/>
      <c r="DI376" s="331"/>
      <c r="DJ376" s="331"/>
      <c r="DK376" s="331"/>
      <c r="DL376" s="331"/>
      <c r="DM376" s="331"/>
      <c r="DN376" s="331"/>
      <c r="DO376" s="331"/>
      <c r="DP376" s="331"/>
      <c r="DQ376" s="331"/>
      <c r="DR376" s="331"/>
      <c r="DS376" s="331"/>
      <c r="DT376" s="331"/>
      <c r="DU376" s="331"/>
      <c r="DV376" s="331"/>
      <c r="DW376" s="331"/>
      <c r="DX376" s="331"/>
      <c r="DY376" s="331"/>
    </row>
    <row r="377" spans="1:129" s="332" customFormat="1" ht="102" x14ac:dyDescent="0.25">
      <c r="A377" s="259">
        <v>318</v>
      </c>
      <c r="B377" s="325" t="s">
        <v>791</v>
      </c>
      <c r="C377" s="259"/>
      <c r="D377" s="325"/>
      <c r="E377" s="259">
        <v>1</v>
      </c>
      <c r="F377" s="325" t="s">
        <v>112</v>
      </c>
      <c r="G377" s="259">
        <v>19</v>
      </c>
      <c r="H377" s="385" t="s">
        <v>195</v>
      </c>
      <c r="I377" s="259">
        <v>1905</v>
      </c>
      <c r="J377" s="325" t="s">
        <v>683</v>
      </c>
      <c r="K377" s="259">
        <v>1905029</v>
      </c>
      <c r="L377" s="325" t="s">
        <v>900</v>
      </c>
      <c r="M377" s="259">
        <v>190502900</v>
      </c>
      <c r="N377" s="325" t="s">
        <v>901</v>
      </c>
      <c r="O377" s="272" t="s">
        <v>26</v>
      </c>
      <c r="P377" s="280">
        <v>12</v>
      </c>
      <c r="Q377" s="280">
        <v>9</v>
      </c>
      <c r="R377" s="281">
        <v>2024003630111</v>
      </c>
      <c r="S377" s="325" t="s">
        <v>893</v>
      </c>
      <c r="T377" s="328"/>
      <c r="U377" s="328"/>
      <c r="V377" s="328"/>
      <c r="W377" s="328"/>
      <c r="X377" s="328"/>
      <c r="Y377" s="328"/>
      <c r="Z377" s="328">
        <v>30000000</v>
      </c>
      <c r="AA377" s="328">
        <v>0</v>
      </c>
      <c r="AB377" s="328">
        <v>0</v>
      </c>
      <c r="AC377" s="328"/>
      <c r="AD377" s="328"/>
      <c r="AE377" s="328"/>
      <c r="AF377" s="328"/>
      <c r="AG377" s="328"/>
      <c r="AH377" s="328"/>
      <c r="AI377" s="328"/>
      <c r="AJ377" s="328"/>
      <c r="AK377" s="328"/>
      <c r="AL377" s="404"/>
      <c r="AM377" s="404"/>
      <c r="AN377" s="404"/>
      <c r="AO377" s="328"/>
      <c r="AP377" s="328"/>
      <c r="AQ377" s="328"/>
      <c r="AR377" s="328"/>
      <c r="AS377" s="328"/>
      <c r="AT377" s="328"/>
      <c r="AU377" s="328">
        <f t="shared" si="23"/>
        <v>30000000</v>
      </c>
      <c r="AV377" s="328">
        <f t="shared" si="21"/>
        <v>0</v>
      </c>
      <c r="AW377" s="328">
        <f t="shared" si="22"/>
        <v>0</v>
      </c>
      <c r="AX377" s="330" t="s">
        <v>795</v>
      </c>
      <c r="AY377" s="331"/>
      <c r="AZ377" s="331"/>
      <c r="BA377" s="331"/>
      <c r="BB377" s="331"/>
      <c r="BC377" s="331"/>
      <c r="BD377" s="331"/>
      <c r="BE377" s="331"/>
      <c r="BF377" s="331"/>
      <c r="BG377" s="331"/>
      <c r="BH377" s="331"/>
      <c r="BI377" s="331"/>
      <c r="BJ377" s="331"/>
      <c r="BK377" s="331"/>
      <c r="BL377" s="331"/>
      <c r="BM377" s="331"/>
      <c r="BN377" s="331"/>
      <c r="BO377" s="331"/>
      <c r="BP377" s="331"/>
      <c r="BQ377" s="331"/>
      <c r="BR377" s="331"/>
      <c r="BS377" s="331"/>
      <c r="BT377" s="331"/>
      <c r="BU377" s="331"/>
      <c r="BV377" s="331"/>
      <c r="BW377" s="331"/>
      <c r="BX377" s="331"/>
      <c r="BY377" s="331"/>
      <c r="BZ377" s="331"/>
      <c r="CA377" s="331"/>
      <c r="CB377" s="331"/>
      <c r="CC377" s="331"/>
      <c r="CD377" s="331"/>
      <c r="CE377" s="331"/>
      <c r="CF377" s="331"/>
      <c r="CG377" s="331"/>
      <c r="CH377" s="331"/>
      <c r="CI377" s="331"/>
      <c r="CJ377" s="331"/>
      <c r="CK377" s="331"/>
      <c r="CL377" s="331"/>
      <c r="CM377" s="331"/>
      <c r="CN377" s="331"/>
      <c r="CO377" s="331"/>
      <c r="CP377" s="331"/>
      <c r="CQ377" s="331"/>
      <c r="CR377" s="331"/>
      <c r="CS377" s="331"/>
      <c r="CT377" s="331"/>
      <c r="CU377" s="331"/>
      <c r="CV377" s="331"/>
      <c r="CW377" s="331"/>
      <c r="CX377" s="331"/>
      <c r="CY377" s="331"/>
      <c r="CZ377" s="331"/>
      <c r="DA377" s="331"/>
      <c r="DB377" s="331"/>
      <c r="DC377" s="331"/>
      <c r="DD377" s="331"/>
      <c r="DE377" s="331"/>
      <c r="DF377" s="331"/>
      <c r="DG377" s="331"/>
      <c r="DH377" s="331"/>
      <c r="DI377" s="331"/>
      <c r="DJ377" s="331"/>
      <c r="DK377" s="331"/>
      <c r="DL377" s="331"/>
      <c r="DM377" s="331"/>
      <c r="DN377" s="331"/>
      <c r="DO377" s="331"/>
      <c r="DP377" s="331"/>
      <c r="DQ377" s="331"/>
      <c r="DR377" s="331"/>
      <c r="DS377" s="331"/>
      <c r="DT377" s="331"/>
      <c r="DU377" s="331"/>
      <c r="DV377" s="331"/>
      <c r="DW377" s="331"/>
      <c r="DX377" s="331"/>
      <c r="DY377" s="331"/>
    </row>
    <row r="378" spans="1:129" s="332" customFormat="1" ht="76.5" x14ac:dyDescent="0.25">
      <c r="A378" s="259">
        <v>318</v>
      </c>
      <c r="B378" s="325" t="s">
        <v>791</v>
      </c>
      <c r="C378" s="259"/>
      <c r="D378" s="325"/>
      <c r="E378" s="259">
        <v>1</v>
      </c>
      <c r="F378" s="325" t="s">
        <v>112</v>
      </c>
      <c r="G378" s="259">
        <v>19</v>
      </c>
      <c r="H378" s="385" t="s">
        <v>195</v>
      </c>
      <c r="I378" s="259">
        <v>1905</v>
      </c>
      <c r="J378" s="325" t="s">
        <v>683</v>
      </c>
      <c r="K378" s="259">
        <v>1905054</v>
      </c>
      <c r="L378" s="325" t="s">
        <v>864</v>
      </c>
      <c r="M378" s="259">
        <v>190505410</v>
      </c>
      <c r="N378" s="325" t="s">
        <v>902</v>
      </c>
      <c r="O378" s="272" t="s">
        <v>26</v>
      </c>
      <c r="P378" s="280">
        <v>8</v>
      </c>
      <c r="Q378" s="280">
        <v>6</v>
      </c>
      <c r="R378" s="281">
        <v>2024003630111</v>
      </c>
      <c r="S378" s="325" t="s">
        <v>893</v>
      </c>
      <c r="T378" s="328"/>
      <c r="U378" s="328"/>
      <c r="V378" s="328"/>
      <c r="W378" s="328"/>
      <c r="X378" s="328"/>
      <c r="Y378" s="328"/>
      <c r="Z378" s="328">
        <v>55000000</v>
      </c>
      <c r="AA378" s="328">
        <v>11100000</v>
      </c>
      <c r="AB378" s="328">
        <v>7400000</v>
      </c>
      <c r="AC378" s="328"/>
      <c r="AD378" s="328"/>
      <c r="AE378" s="328"/>
      <c r="AF378" s="328"/>
      <c r="AG378" s="328"/>
      <c r="AH378" s="328"/>
      <c r="AI378" s="328"/>
      <c r="AJ378" s="328"/>
      <c r="AK378" s="328"/>
      <c r="AL378" s="404"/>
      <c r="AM378" s="404"/>
      <c r="AN378" s="404"/>
      <c r="AO378" s="328"/>
      <c r="AP378" s="328"/>
      <c r="AQ378" s="328"/>
      <c r="AR378" s="328"/>
      <c r="AS378" s="328"/>
      <c r="AT378" s="328"/>
      <c r="AU378" s="328">
        <f t="shared" si="23"/>
        <v>55000000</v>
      </c>
      <c r="AV378" s="328">
        <f t="shared" si="21"/>
        <v>11100000</v>
      </c>
      <c r="AW378" s="328">
        <f t="shared" si="22"/>
        <v>7400000</v>
      </c>
      <c r="AX378" s="330" t="s">
        <v>795</v>
      </c>
      <c r="AY378" s="331"/>
      <c r="AZ378" s="331"/>
      <c r="BA378" s="331"/>
      <c r="BB378" s="331"/>
      <c r="BC378" s="331"/>
      <c r="BD378" s="331"/>
      <c r="BE378" s="331"/>
      <c r="BF378" s="331"/>
      <c r="BG378" s="331"/>
      <c r="BH378" s="331"/>
      <c r="BI378" s="331"/>
      <c r="BJ378" s="331"/>
      <c r="BK378" s="331"/>
      <c r="BL378" s="331"/>
      <c r="BM378" s="331"/>
      <c r="BN378" s="331"/>
      <c r="BO378" s="331"/>
      <c r="BP378" s="331"/>
      <c r="BQ378" s="331"/>
      <c r="BR378" s="331"/>
      <c r="BS378" s="331"/>
      <c r="BT378" s="331"/>
      <c r="BU378" s="331"/>
      <c r="BV378" s="331"/>
      <c r="BW378" s="331"/>
      <c r="BX378" s="331"/>
      <c r="BY378" s="331"/>
      <c r="BZ378" s="331"/>
      <c r="CA378" s="331"/>
      <c r="CB378" s="331"/>
      <c r="CC378" s="331"/>
      <c r="CD378" s="331"/>
      <c r="CE378" s="331"/>
      <c r="CF378" s="331"/>
      <c r="CG378" s="331"/>
      <c r="CH378" s="331"/>
      <c r="CI378" s="331"/>
      <c r="CJ378" s="331"/>
      <c r="CK378" s="331"/>
      <c r="CL378" s="331"/>
      <c r="CM378" s="331"/>
      <c r="CN378" s="331"/>
      <c r="CO378" s="331"/>
      <c r="CP378" s="331"/>
      <c r="CQ378" s="331"/>
      <c r="CR378" s="331"/>
      <c r="CS378" s="331"/>
      <c r="CT378" s="331"/>
      <c r="CU378" s="331"/>
      <c r="CV378" s="331"/>
      <c r="CW378" s="331"/>
      <c r="CX378" s="331"/>
      <c r="CY378" s="331"/>
      <c r="CZ378" s="331"/>
      <c r="DA378" s="331"/>
      <c r="DB378" s="331"/>
      <c r="DC378" s="331"/>
      <c r="DD378" s="331"/>
      <c r="DE378" s="331"/>
      <c r="DF378" s="331"/>
      <c r="DG378" s="331"/>
      <c r="DH378" s="331"/>
      <c r="DI378" s="331"/>
      <c r="DJ378" s="331"/>
      <c r="DK378" s="331"/>
      <c r="DL378" s="331"/>
      <c r="DM378" s="331"/>
      <c r="DN378" s="331"/>
      <c r="DO378" s="331"/>
      <c r="DP378" s="331"/>
      <c r="DQ378" s="331"/>
      <c r="DR378" s="331"/>
      <c r="DS378" s="331"/>
      <c r="DT378" s="331"/>
      <c r="DU378" s="331"/>
      <c r="DV378" s="331"/>
      <c r="DW378" s="331"/>
      <c r="DX378" s="331"/>
      <c r="DY378" s="331"/>
    </row>
    <row r="379" spans="1:129" s="459" customFormat="1" ht="38.25" x14ac:dyDescent="0.25">
      <c r="A379" s="292">
        <v>318</v>
      </c>
      <c r="B379" s="454" t="s">
        <v>791</v>
      </c>
      <c r="C379" s="292">
        <v>1</v>
      </c>
      <c r="D379" s="454" t="s">
        <v>105</v>
      </c>
      <c r="E379" s="292">
        <v>1</v>
      </c>
      <c r="F379" s="454" t="s">
        <v>112</v>
      </c>
      <c r="G379" s="292">
        <v>19</v>
      </c>
      <c r="H379" s="454" t="s">
        <v>195</v>
      </c>
      <c r="I379" s="292">
        <v>1905</v>
      </c>
      <c r="J379" s="454" t="s">
        <v>847</v>
      </c>
      <c r="K379" s="292">
        <v>1905015</v>
      </c>
      <c r="L379" s="454" t="s">
        <v>316</v>
      </c>
      <c r="M379" s="299">
        <v>190501500</v>
      </c>
      <c r="N379" s="453" t="s">
        <v>174</v>
      </c>
      <c r="O379" s="465" t="s">
        <v>67</v>
      </c>
      <c r="P379" s="299">
        <v>2</v>
      </c>
      <c r="Q379" s="299">
        <v>1</v>
      </c>
      <c r="R379" s="337">
        <v>2020003630128</v>
      </c>
      <c r="S379" s="454" t="s">
        <v>903</v>
      </c>
      <c r="T379" s="457"/>
      <c r="U379" s="457"/>
      <c r="V379" s="457"/>
      <c r="W379" s="457"/>
      <c r="X379" s="457"/>
      <c r="Y379" s="457"/>
      <c r="Z379" s="457">
        <f>96000000+100000000-131523334</f>
        <v>64476666</v>
      </c>
      <c r="AA379" s="457">
        <v>64476666</v>
      </c>
      <c r="AB379" s="457">
        <v>64476666</v>
      </c>
      <c r="AC379" s="457"/>
      <c r="AD379" s="457"/>
      <c r="AE379" s="457"/>
      <c r="AF379" s="457"/>
      <c r="AG379" s="457"/>
      <c r="AH379" s="457"/>
      <c r="AI379" s="457"/>
      <c r="AJ379" s="457"/>
      <c r="AK379" s="457"/>
      <c r="AL379" s="470"/>
      <c r="AM379" s="470"/>
      <c r="AN379" s="470"/>
      <c r="AO379" s="457"/>
      <c r="AP379" s="457"/>
      <c r="AQ379" s="457"/>
      <c r="AR379" s="457"/>
      <c r="AS379" s="457"/>
      <c r="AT379" s="457"/>
      <c r="AU379" s="457">
        <f t="shared" si="23"/>
        <v>64476666</v>
      </c>
      <c r="AV379" s="457">
        <f t="shared" si="21"/>
        <v>64476666</v>
      </c>
      <c r="AW379" s="457">
        <f t="shared" si="22"/>
        <v>64476666</v>
      </c>
      <c r="AX379" s="475" t="s">
        <v>795</v>
      </c>
    </row>
    <row r="380" spans="1:129" s="459" customFormat="1" ht="51" x14ac:dyDescent="0.25">
      <c r="A380" s="292">
        <v>318</v>
      </c>
      <c r="B380" s="454" t="s">
        <v>791</v>
      </c>
      <c r="C380" s="292">
        <v>1</v>
      </c>
      <c r="D380" s="454" t="s">
        <v>105</v>
      </c>
      <c r="E380" s="292">
        <v>1</v>
      </c>
      <c r="F380" s="454" t="s">
        <v>112</v>
      </c>
      <c r="G380" s="292">
        <v>19</v>
      </c>
      <c r="H380" s="454" t="s">
        <v>195</v>
      </c>
      <c r="I380" s="292">
        <v>1905</v>
      </c>
      <c r="J380" s="454" t="s">
        <v>847</v>
      </c>
      <c r="K380" s="292">
        <v>1905014</v>
      </c>
      <c r="L380" s="454" t="s">
        <v>65</v>
      </c>
      <c r="M380" s="292">
        <v>190501400</v>
      </c>
      <c r="N380" s="453" t="s">
        <v>489</v>
      </c>
      <c r="O380" s="299" t="s">
        <v>26</v>
      </c>
      <c r="P380" s="299">
        <v>12</v>
      </c>
      <c r="Q380" s="299">
        <v>6</v>
      </c>
      <c r="R380" s="337">
        <v>2020003630129</v>
      </c>
      <c r="S380" s="454" t="s">
        <v>904</v>
      </c>
      <c r="T380" s="457"/>
      <c r="U380" s="457"/>
      <c r="V380" s="457"/>
      <c r="W380" s="457"/>
      <c r="X380" s="457"/>
      <c r="Y380" s="457"/>
      <c r="Z380" s="457">
        <f>54000000-34423334</f>
        <v>19576666</v>
      </c>
      <c r="AA380" s="457">
        <v>19576666</v>
      </c>
      <c r="AB380" s="457">
        <v>16000000</v>
      </c>
      <c r="AC380" s="457"/>
      <c r="AD380" s="457"/>
      <c r="AE380" s="457"/>
      <c r="AF380" s="457"/>
      <c r="AG380" s="457"/>
      <c r="AH380" s="457"/>
      <c r="AI380" s="457"/>
      <c r="AJ380" s="457"/>
      <c r="AK380" s="457"/>
      <c r="AL380" s="470"/>
      <c r="AM380" s="470"/>
      <c r="AN380" s="470"/>
      <c r="AO380" s="457"/>
      <c r="AP380" s="457"/>
      <c r="AQ380" s="457"/>
      <c r="AR380" s="457"/>
      <c r="AS380" s="457"/>
      <c r="AT380" s="457"/>
      <c r="AU380" s="457">
        <f t="shared" si="23"/>
        <v>19576666</v>
      </c>
      <c r="AV380" s="457">
        <f t="shared" si="21"/>
        <v>19576666</v>
      </c>
      <c r="AW380" s="457">
        <f t="shared" si="22"/>
        <v>16000000</v>
      </c>
      <c r="AX380" s="475" t="s">
        <v>795</v>
      </c>
    </row>
    <row r="381" spans="1:129" s="459" customFormat="1" ht="63.75" x14ac:dyDescent="0.25">
      <c r="A381" s="292">
        <v>318</v>
      </c>
      <c r="B381" s="454" t="s">
        <v>791</v>
      </c>
      <c r="C381" s="292">
        <v>1</v>
      </c>
      <c r="D381" s="454" t="s">
        <v>105</v>
      </c>
      <c r="E381" s="292">
        <v>1</v>
      </c>
      <c r="F381" s="454" t="s">
        <v>112</v>
      </c>
      <c r="G381" s="292">
        <v>19</v>
      </c>
      <c r="H381" s="454" t="s">
        <v>195</v>
      </c>
      <c r="I381" s="292">
        <v>1905</v>
      </c>
      <c r="J381" s="454" t="s">
        <v>847</v>
      </c>
      <c r="K381" s="292">
        <v>1905015</v>
      </c>
      <c r="L381" s="454" t="s">
        <v>173</v>
      </c>
      <c r="M381" s="292">
        <v>190501503</v>
      </c>
      <c r="N381" s="453" t="s">
        <v>905</v>
      </c>
      <c r="O381" s="299" t="s">
        <v>26</v>
      </c>
      <c r="P381" s="299">
        <v>15</v>
      </c>
      <c r="Q381" s="299">
        <v>5</v>
      </c>
      <c r="R381" s="337">
        <v>2020003630133</v>
      </c>
      <c r="S381" s="499" t="s">
        <v>906</v>
      </c>
      <c r="T381" s="457"/>
      <c r="U381" s="457"/>
      <c r="V381" s="457"/>
      <c r="W381" s="457"/>
      <c r="X381" s="457"/>
      <c r="Y381" s="457"/>
      <c r="Z381" s="457">
        <f>430165182-271745185</f>
        <v>158419997</v>
      </c>
      <c r="AA381" s="457">
        <v>158419997</v>
      </c>
      <c r="AB381" s="457">
        <v>152499997</v>
      </c>
      <c r="AC381" s="457"/>
      <c r="AD381" s="457"/>
      <c r="AE381" s="457"/>
      <c r="AF381" s="457"/>
      <c r="AG381" s="457"/>
      <c r="AH381" s="457"/>
      <c r="AI381" s="457"/>
      <c r="AJ381" s="457"/>
      <c r="AK381" s="457"/>
      <c r="AL381" s="470">
        <f>150000000-124900000</f>
        <v>25100000</v>
      </c>
      <c r="AM381" s="470">
        <v>25100000</v>
      </c>
      <c r="AN381" s="470">
        <v>20800000</v>
      </c>
      <c r="AO381" s="457"/>
      <c r="AP381" s="457"/>
      <c r="AQ381" s="457"/>
      <c r="AR381" s="457"/>
      <c r="AS381" s="457"/>
      <c r="AT381" s="457"/>
      <c r="AU381" s="457">
        <f t="shared" si="23"/>
        <v>183519997</v>
      </c>
      <c r="AV381" s="457">
        <f t="shared" si="21"/>
        <v>183519997</v>
      </c>
      <c r="AW381" s="457">
        <f t="shared" si="22"/>
        <v>173299997</v>
      </c>
      <c r="AX381" s="475" t="s">
        <v>795</v>
      </c>
    </row>
    <row r="382" spans="1:129" s="332" customFormat="1" ht="63.75" x14ac:dyDescent="0.25">
      <c r="A382" s="259">
        <v>318</v>
      </c>
      <c r="B382" s="325" t="s">
        <v>791</v>
      </c>
      <c r="C382" s="259"/>
      <c r="D382" s="325"/>
      <c r="E382" s="259">
        <v>1</v>
      </c>
      <c r="F382" s="325" t="s">
        <v>112</v>
      </c>
      <c r="G382" s="259">
        <v>19</v>
      </c>
      <c r="H382" s="385" t="s">
        <v>195</v>
      </c>
      <c r="I382" s="259">
        <v>1905</v>
      </c>
      <c r="J382" s="325" t="s">
        <v>907</v>
      </c>
      <c r="K382" s="259">
        <v>1905015</v>
      </c>
      <c r="L382" s="325" t="s">
        <v>173</v>
      </c>
      <c r="M382" s="259">
        <v>190501503</v>
      </c>
      <c r="N382" s="333" t="s">
        <v>908</v>
      </c>
      <c r="O382" s="272" t="s">
        <v>26</v>
      </c>
      <c r="P382" s="280">
        <v>1</v>
      </c>
      <c r="Q382" s="280">
        <v>0.2</v>
      </c>
      <c r="R382" s="281">
        <v>2024003630108</v>
      </c>
      <c r="S382" s="327" t="s">
        <v>909</v>
      </c>
      <c r="T382" s="328"/>
      <c r="U382" s="328"/>
      <c r="V382" s="328"/>
      <c r="W382" s="328"/>
      <c r="X382" s="328"/>
      <c r="Y382" s="328"/>
      <c r="Z382" s="328">
        <v>206565182</v>
      </c>
      <c r="AA382" s="328">
        <v>123426666</v>
      </c>
      <c r="AB382" s="328">
        <v>56800000</v>
      </c>
      <c r="AC382" s="328"/>
      <c r="AD382" s="328"/>
      <c r="AE382" s="328"/>
      <c r="AF382" s="328"/>
      <c r="AG382" s="328"/>
      <c r="AH382" s="328"/>
      <c r="AI382" s="328"/>
      <c r="AJ382" s="328"/>
      <c r="AK382" s="328"/>
      <c r="AL382" s="404">
        <v>100000000</v>
      </c>
      <c r="AM382" s="404"/>
      <c r="AN382" s="404"/>
      <c r="AO382" s="328"/>
      <c r="AP382" s="328"/>
      <c r="AQ382" s="328"/>
      <c r="AR382" s="328"/>
      <c r="AS382" s="328"/>
      <c r="AT382" s="328"/>
      <c r="AU382" s="328">
        <f t="shared" si="23"/>
        <v>306565182</v>
      </c>
      <c r="AV382" s="328">
        <f t="shared" si="21"/>
        <v>123426666</v>
      </c>
      <c r="AW382" s="328">
        <f t="shared" si="22"/>
        <v>56800000</v>
      </c>
      <c r="AX382" s="330" t="s">
        <v>795</v>
      </c>
      <c r="AY382" s="331"/>
      <c r="AZ382" s="331"/>
      <c r="BA382" s="331"/>
      <c r="BB382" s="331"/>
      <c r="BC382" s="331"/>
      <c r="BD382" s="331"/>
      <c r="BE382" s="331"/>
      <c r="BF382" s="331"/>
      <c r="BG382" s="331"/>
      <c r="BH382" s="331"/>
      <c r="BI382" s="331"/>
      <c r="BJ382" s="331"/>
      <c r="BK382" s="331"/>
      <c r="BL382" s="331"/>
      <c r="BM382" s="331"/>
      <c r="BN382" s="331"/>
      <c r="BO382" s="331"/>
      <c r="BP382" s="331"/>
      <c r="BQ382" s="331"/>
      <c r="BR382" s="331"/>
      <c r="BS382" s="331"/>
      <c r="BT382" s="331"/>
      <c r="BU382" s="331"/>
      <c r="BV382" s="331"/>
      <c r="BW382" s="331"/>
      <c r="BX382" s="331"/>
      <c r="BY382" s="331"/>
      <c r="BZ382" s="331"/>
      <c r="CA382" s="331"/>
      <c r="CB382" s="331"/>
      <c r="CC382" s="331"/>
      <c r="CD382" s="331"/>
      <c r="CE382" s="331"/>
      <c r="CF382" s="331"/>
      <c r="CG382" s="331"/>
      <c r="CH382" s="331"/>
      <c r="CI382" s="331"/>
      <c r="CJ382" s="331"/>
      <c r="CK382" s="331"/>
      <c r="CL382" s="331"/>
      <c r="CM382" s="331"/>
      <c r="CN382" s="331"/>
      <c r="CO382" s="331"/>
      <c r="CP382" s="331"/>
      <c r="CQ382" s="331"/>
      <c r="CR382" s="331"/>
      <c r="CS382" s="331"/>
      <c r="CT382" s="331"/>
      <c r="CU382" s="331"/>
      <c r="CV382" s="331"/>
      <c r="CW382" s="331"/>
      <c r="CX382" s="331"/>
      <c r="CY382" s="331"/>
      <c r="CZ382" s="331"/>
      <c r="DA382" s="331"/>
      <c r="DB382" s="331"/>
      <c r="DC382" s="331"/>
      <c r="DD382" s="331"/>
      <c r="DE382" s="331"/>
      <c r="DF382" s="331"/>
      <c r="DG382" s="331"/>
      <c r="DH382" s="331"/>
      <c r="DI382" s="331"/>
      <c r="DJ382" s="331"/>
      <c r="DK382" s="331"/>
      <c r="DL382" s="331"/>
      <c r="DM382" s="331"/>
      <c r="DN382" s="331"/>
      <c r="DO382" s="331"/>
      <c r="DP382" s="331"/>
      <c r="DQ382" s="331"/>
      <c r="DR382" s="331"/>
      <c r="DS382" s="331"/>
      <c r="DT382" s="331"/>
      <c r="DU382" s="331"/>
      <c r="DV382" s="331"/>
      <c r="DW382" s="331"/>
      <c r="DX382" s="331"/>
      <c r="DY382" s="331"/>
    </row>
    <row r="383" spans="1:129" s="332" customFormat="1" ht="76.5" x14ac:dyDescent="0.25">
      <c r="A383" s="259">
        <v>318</v>
      </c>
      <c r="B383" s="325" t="s">
        <v>791</v>
      </c>
      <c r="C383" s="259"/>
      <c r="D383" s="325"/>
      <c r="E383" s="259">
        <v>1</v>
      </c>
      <c r="F383" s="325" t="s">
        <v>112</v>
      </c>
      <c r="G383" s="259">
        <v>19</v>
      </c>
      <c r="H383" s="385" t="s">
        <v>195</v>
      </c>
      <c r="I383" s="259">
        <v>1905</v>
      </c>
      <c r="J383" s="325" t="s">
        <v>907</v>
      </c>
      <c r="K383" s="259">
        <v>1905035</v>
      </c>
      <c r="L383" s="325" t="s">
        <v>856</v>
      </c>
      <c r="M383" s="259">
        <v>190503500</v>
      </c>
      <c r="N383" s="333" t="s">
        <v>857</v>
      </c>
      <c r="O383" s="272" t="s">
        <v>67</v>
      </c>
      <c r="P383" s="302">
        <v>2428</v>
      </c>
      <c r="Q383" s="302">
        <v>1457</v>
      </c>
      <c r="R383" s="281">
        <v>2024003630108</v>
      </c>
      <c r="S383" s="327" t="s">
        <v>909</v>
      </c>
      <c r="T383" s="328"/>
      <c r="U383" s="328"/>
      <c r="V383" s="328"/>
      <c r="W383" s="328"/>
      <c r="X383" s="328"/>
      <c r="Y383" s="328"/>
      <c r="Z383" s="328">
        <v>150000000</v>
      </c>
      <c r="AA383" s="328">
        <v>10033333</v>
      </c>
      <c r="AB383" s="328">
        <v>4300000</v>
      </c>
      <c r="AC383" s="328"/>
      <c r="AD383" s="328"/>
      <c r="AE383" s="328"/>
      <c r="AF383" s="328"/>
      <c r="AG383" s="328"/>
      <c r="AH383" s="328"/>
      <c r="AI383" s="328"/>
      <c r="AJ383" s="328"/>
      <c r="AK383" s="328"/>
      <c r="AL383" s="404"/>
      <c r="AM383" s="404"/>
      <c r="AN383" s="404"/>
      <c r="AO383" s="328"/>
      <c r="AP383" s="328"/>
      <c r="AQ383" s="328"/>
      <c r="AR383" s="328"/>
      <c r="AS383" s="328"/>
      <c r="AT383" s="328"/>
      <c r="AU383" s="328">
        <f t="shared" si="23"/>
        <v>150000000</v>
      </c>
      <c r="AV383" s="328">
        <f t="shared" si="21"/>
        <v>10033333</v>
      </c>
      <c r="AW383" s="328">
        <f t="shared" si="22"/>
        <v>4300000</v>
      </c>
      <c r="AX383" s="330" t="s">
        <v>795</v>
      </c>
      <c r="AY383" s="331"/>
      <c r="AZ383" s="331"/>
      <c r="BA383" s="331"/>
      <c r="BB383" s="331"/>
      <c r="BC383" s="331"/>
      <c r="BD383" s="331"/>
      <c r="BE383" s="331"/>
      <c r="BF383" s="331"/>
      <c r="BG383" s="331"/>
      <c r="BH383" s="331"/>
      <c r="BI383" s="331"/>
      <c r="BJ383" s="331"/>
      <c r="BK383" s="331"/>
      <c r="BL383" s="331"/>
      <c r="BM383" s="331"/>
      <c r="BN383" s="331"/>
      <c r="BO383" s="331"/>
      <c r="BP383" s="331"/>
      <c r="BQ383" s="331"/>
      <c r="BR383" s="331"/>
      <c r="BS383" s="331"/>
      <c r="BT383" s="331"/>
      <c r="BU383" s="331"/>
      <c r="BV383" s="331"/>
      <c r="BW383" s="331"/>
      <c r="BX383" s="331"/>
      <c r="BY383" s="331"/>
      <c r="BZ383" s="331"/>
      <c r="CA383" s="331"/>
      <c r="CB383" s="331"/>
      <c r="CC383" s="331"/>
      <c r="CD383" s="331"/>
      <c r="CE383" s="331"/>
      <c r="CF383" s="331"/>
      <c r="CG383" s="331"/>
      <c r="CH383" s="331"/>
      <c r="CI383" s="331"/>
      <c r="CJ383" s="331"/>
      <c r="CK383" s="331"/>
      <c r="CL383" s="331"/>
      <c r="CM383" s="331"/>
      <c r="CN383" s="331"/>
      <c r="CO383" s="331"/>
      <c r="CP383" s="331"/>
      <c r="CQ383" s="331"/>
      <c r="CR383" s="331"/>
      <c r="CS383" s="331"/>
      <c r="CT383" s="331"/>
      <c r="CU383" s="331"/>
      <c r="CV383" s="331"/>
      <c r="CW383" s="331"/>
      <c r="CX383" s="331"/>
      <c r="CY383" s="331"/>
      <c r="CZ383" s="331"/>
      <c r="DA383" s="331"/>
      <c r="DB383" s="331"/>
      <c r="DC383" s="331"/>
      <c r="DD383" s="331"/>
      <c r="DE383" s="331"/>
      <c r="DF383" s="331"/>
      <c r="DG383" s="331"/>
      <c r="DH383" s="331"/>
      <c r="DI383" s="331"/>
      <c r="DJ383" s="331"/>
      <c r="DK383" s="331"/>
      <c r="DL383" s="331"/>
      <c r="DM383" s="331"/>
      <c r="DN383" s="331"/>
      <c r="DO383" s="331"/>
      <c r="DP383" s="331"/>
      <c r="DQ383" s="331"/>
      <c r="DR383" s="331"/>
      <c r="DS383" s="331"/>
      <c r="DT383" s="331"/>
      <c r="DU383" s="331"/>
      <c r="DV383" s="331"/>
      <c r="DW383" s="331"/>
      <c r="DX383" s="331"/>
      <c r="DY383" s="331"/>
    </row>
    <row r="384" spans="1:129" s="332" customFormat="1" ht="63.75" x14ac:dyDescent="0.25">
      <c r="A384" s="259">
        <v>318</v>
      </c>
      <c r="B384" s="325" t="s">
        <v>791</v>
      </c>
      <c r="C384" s="259"/>
      <c r="D384" s="325"/>
      <c r="E384" s="259">
        <v>1</v>
      </c>
      <c r="F384" s="325" t="s">
        <v>112</v>
      </c>
      <c r="G384" s="259">
        <v>19</v>
      </c>
      <c r="H384" s="385" t="s">
        <v>195</v>
      </c>
      <c r="I384" s="259">
        <v>1905</v>
      </c>
      <c r="J384" s="325" t="s">
        <v>907</v>
      </c>
      <c r="K384" s="259">
        <v>1905049</v>
      </c>
      <c r="L384" s="325" t="s">
        <v>877</v>
      </c>
      <c r="M384" s="259">
        <v>190504902</v>
      </c>
      <c r="N384" s="333" t="s">
        <v>910</v>
      </c>
      <c r="O384" s="272" t="s">
        <v>26</v>
      </c>
      <c r="P384" s="280">
        <v>100</v>
      </c>
      <c r="Q384" s="280">
        <v>100</v>
      </c>
      <c r="R384" s="281">
        <v>2024003630108</v>
      </c>
      <c r="S384" s="327" t="s">
        <v>909</v>
      </c>
      <c r="T384" s="328"/>
      <c r="U384" s="328"/>
      <c r="V384" s="328"/>
      <c r="W384" s="328"/>
      <c r="X384" s="328"/>
      <c r="Y384" s="328"/>
      <c r="Z384" s="328"/>
      <c r="AA384" s="328"/>
      <c r="AB384" s="328"/>
      <c r="AC384" s="328"/>
      <c r="AD384" s="328"/>
      <c r="AE384" s="328"/>
      <c r="AF384" s="328"/>
      <c r="AG384" s="328"/>
      <c r="AH384" s="328"/>
      <c r="AI384" s="328"/>
      <c r="AJ384" s="328"/>
      <c r="AK384" s="328"/>
      <c r="AL384" s="404">
        <v>2000000</v>
      </c>
      <c r="AM384" s="404"/>
      <c r="AN384" s="404"/>
      <c r="AO384" s="328"/>
      <c r="AP384" s="328"/>
      <c r="AQ384" s="328"/>
      <c r="AR384" s="328"/>
      <c r="AS384" s="328"/>
      <c r="AT384" s="328"/>
      <c r="AU384" s="328">
        <f t="shared" si="23"/>
        <v>2000000</v>
      </c>
      <c r="AV384" s="328">
        <f t="shared" si="21"/>
        <v>0</v>
      </c>
      <c r="AW384" s="328">
        <f t="shared" si="22"/>
        <v>0</v>
      </c>
      <c r="AX384" s="330" t="s">
        <v>795</v>
      </c>
      <c r="AY384" s="331"/>
      <c r="AZ384" s="331"/>
      <c r="BA384" s="331"/>
      <c r="BB384" s="331"/>
      <c r="BC384" s="331"/>
      <c r="BD384" s="331"/>
      <c r="BE384" s="331"/>
      <c r="BF384" s="331"/>
      <c r="BG384" s="331"/>
      <c r="BH384" s="331"/>
      <c r="BI384" s="331"/>
      <c r="BJ384" s="331"/>
      <c r="BK384" s="331"/>
      <c r="BL384" s="331"/>
      <c r="BM384" s="331"/>
      <c r="BN384" s="331"/>
      <c r="BO384" s="331"/>
      <c r="BP384" s="331"/>
      <c r="BQ384" s="331"/>
      <c r="BR384" s="331"/>
      <c r="BS384" s="331"/>
      <c r="BT384" s="331"/>
      <c r="BU384" s="331"/>
      <c r="BV384" s="331"/>
      <c r="BW384" s="331"/>
      <c r="BX384" s="331"/>
      <c r="BY384" s="331"/>
      <c r="BZ384" s="331"/>
      <c r="CA384" s="331"/>
      <c r="CB384" s="331"/>
      <c r="CC384" s="331"/>
      <c r="CD384" s="331"/>
      <c r="CE384" s="331"/>
      <c r="CF384" s="331"/>
      <c r="CG384" s="331"/>
      <c r="CH384" s="331"/>
      <c r="CI384" s="331"/>
      <c r="CJ384" s="331"/>
      <c r="CK384" s="331"/>
      <c r="CL384" s="331"/>
      <c r="CM384" s="331"/>
      <c r="CN384" s="331"/>
      <c r="CO384" s="331"/>
      <c r="CP384" s="331"/>
      <c r="CQ384" s="331"/>
      <c r="CR384" s="331"/>
      <c r="CS384" s="331"/>
      <c r="CT384" s="331"/>
      <c r="CU384" s="331"/>
      <c r="CV384" s="331"/>
      <c r="CW384" s="331"/>
      <c r="CX384" s="331"/>
      <c r="CY384" s="331"/>
      <c r="CZ384" s="331"/>
      <c r="DA384" s="331"/>
      <c r="DB384" s="331"/>
      <c r="DC384" s="331"/>
      <c r="DD384" s="331"/>
      <c r="DE384" s="331"/>
      <c r="DF384" s="331"/>
      <c r="DG384" s="331"/>
      <c r="DH384" s="331"/>
      <c r="DI384" s="331"/>
      <c r="DJ384" s="331"/>
      <c r="DK384" s="331"/>
      <c r="DL384" s="331"/>
      <c r="DM384" s="331"/>
      <c r="DN384" s="331"/>
      <c r="DO384" s="331"/>
      <c r="DP384" s="331"/>
      <c r="DQ384" s="331"/>
      <c r="DR384" s="331"/>
      <c r="DS384" s="331"/>
      <c r="DT384" s="331"/>
      <c r="DU384" s="331"/>
      <c r="DV384" s="331"/>
      <c r="DW384" s="331"/>
      <c r="DX384" s="331"/>
      <c r="DY384" s="331"/>
    </row>
    <row r="385" spans="1:129" s="332" customFormat="1" ht="76.5" x14ac:dyDescent="0.25">
      <c r="A385" s="259">
        <v>318</v>
      </c>
      <c r="B385" s="325" t="s">
        <v>791</v>
      </c>
      <c r="C385" s="259"/>
      <c r="D385" s="325"/>
      <c r="E385" s="259">
        <v>1</v>
      </c>
      <c r="F385" s="325" t="s">
        <v>112</v>
      </c>
      <c r="G385" s="259">
        <v>19</v>
      </c>
      <c r="H385" s="385" t="s">
        <v>195</v>
      </c>
      <c r="I385" s="259">
        <v>1905</v>
      </c>
      <c r="J385" s="325" t="s">
        <v>907</v>
      </c>
      <c r="K385" s="259">
        <v>1905050</v>
      </c>
      <c r="L385" s="325" t="s">
        <v>69</v>
      </c>
      <c r="M385" s="259">
        <v>190505005</v>
      </c>
      <c r="N385" s="333" t="s">
        <v>911</v>
      </c>
      <c r="O385" s="272" t="s">
        <v>26</v>
      </c>
      <c r="P385" s="280">
        <v>12</v>
      </c>
      <c r="Q385" s="280">
        <v>7</v>
      </c>
      <c r="R385" s="281">
        <v>2024003630108</v>
      </c>
      <c r="S385" s="327" t="s">
        <v>912</v>
      </c>
      <c r="T385" s="328"/>
      <c r="U385" s="328"/>
      <c r="V385" s="328"/>
      <c r="W385" s="328"/>
      <c r="X385" s="328"/>
      <c r="Y385" s="328"/>
      <c r="Z385" s="328">
        <v>150000000</v>
      </c>
      <c r="AA385" s="328">
        <v>11100000</v>
      </c>
      <c r="AB385" s="328">
        <v>3700000</v>
      </c>
      <c r="AC385" s="328"/>
      <c r="AD385" s="328"/>
      <c r="AE385" s="328"/>
      <c r="AF385" s="328"/>
      <c r="AG385" s="328"/>
      <c r="AH385" s="328"/>
      <c r="AI385" s="328"/>
      <c r="AJ385" s="328"/>
      <c r="AK385" s="328"/>
      <c r="AL385" s="404"/>
      <c r="AM385" s="404"/>
      <c r="AN385" s="404"/>
      <c r="AO385" s="328"/>
      <c r="AP385" s="328"/>
      <c r="AQ385" s="328"/>
      <c r="AR385" s="328"/>
      <c r="AS385" s="328"/>
      <c r="AT385" s="328"/>
      <c r="AU385" s="467">
        <f t="shared" si="23"/>
        <v>150000000</v>
      </c>
      <c r="AV385" s="467">
        <f t="shared" si="21"/>
        <v>11100000</v>
      </c>
      <c r="AW385" s="467">
        <f t="shared" si="22"/>
        <v>3700000</v>
      </c>
      <c r="AX385" s="330" t="s">
        <v>795</v>
      </c>
      <c r="AY385" s="331"/>
      <c r="AZ385" s="331"/>
      <c r="BA385" s="331"/>
      <c r="BB385" s="331"/>
      <c r="BC385" s="331"/>
      <c r="BD385" s="331"/>
      <c r="BE385" s="331"/>
      <c r="BF385" s="331"/>
      <c r="BG385" s="331"/>
      <c r="BH385" s="331"/>
      <c r="BI385" s="331"/>
      <c r="BJ385" s="331"/>
      <c r="BK385" s="331"/>
      <c r="BL385" s="331"/>
      <c r="BM385" s="331"/>
      <c r="BN385" s="331"/>
      <c r="BO385" s="331"/>
      <c r="BP385" s="331"/>
      <c r="BQ385" s="331"/>
      <c r="BR385" s="331"/>
      <c r="BS385" s="331"/>
      <c r="BT385" s="331"/>
      <c r="BU385" s="331"/>
      <c r="BV385" s="331"/>
      <c r="BW385" s="331"/>
      <c r="BX385" s="331"/>
      <c r="BY385" s="331"/>
      <c r="BZ385" s="331"/>
      <c r="CA385" s="331"/>
      <c r="CB385" s="331"/>
      <c r="CC385" s="331"/>
      <c r="CD385" s="331"/>
      <c r="CE385" s="331"/>
      <c r="CF385" s="331"/>
      <c r="CG385" s="331"/>
      <c r="CH385" s="331"/>
      <c r="CI385" s="331"/>
      <c r="CJ385" s="331"/>
      <c r="CK385" s="331"/>
      <c r="CL385" s="331"/>
      <c r="CM385" s="331"/>
      <c r="CN385" s="331"/>
      <c r="CO385" s="331"/>
      <c r="CP385" s="331"/>
      <c r="CQ385" s="331"/>
      <c r="CR385" s="331"/>
      <c r="CS385" s="331"/>
      <c r="CT385" s="331"/>
      <c r="CU385" s="331"/>
      <c r="CV385" s="331"/>
      <c r="CW385" s="331"/>
      <c r="CX385" s="331"/>
      <c r="CY385" s="331"/>
      <c r="CZ385" s="331"/>
      <c r="DA385" s="331"/>
      <c r="DB385" s="331"/>
      <c r="DC385" s="331"/>
      <c r="DD385" s="331"/>
      <c r="DE385" s="331"/>
      <c r="DF385" s="331"/>
      <c r="DG385" s="331"/>
      <c r="DH385" s="331"/>
      <c r="DI385" s="331"/>
      <c r="DJ385" s="331"/>
      <c r="DK385" s="331"/>
      <c r="DL385" s="331"/>
      <c r="DM385" s="331"/>
      <c r="DN385" s="331"/>
      <c r="DO385" s="331"/>
      <c r="DP385" s="331"/>
      <c r="DQ385" s="331"/>
      <c r="DR385" s="331"/>
      <c r="DS385" s="331"/>
      <c r="DT385" s="331"/>
      <c r="DU385" s="331"/>
      <c r="DV385" s="331"/>
      <c r="DW385" s="331"/>
      <c r="DX385" s="331"/>
      <c r="DY385" s="331"/>
    </row>
    <row r="386" spans="1:129" s="332" customFormat="1" ht="38.25" x14ac:dyDescent="0.25">
      <c r="A386" s="259">
        <v>318</v>
      </c>
      <c r="B386" s="325" t="s">
        <v>791</v>
      </c>
      <c r="C386" s="259"/>
      <c r="D386" s="325"/>
      <c r="E386" s="259">
        <v>1</v>
      </c>
      <c r="F386" s="325" t="s">
        <v>112</v>
      </c>
      <c r="G386" s="259">
        <v>19</v>
      </c>
      <c r="H386" s="385" t="s">
        <v>195</v>
      </c>
      <c r="I386" s="259">
        <v>1905</v>
      </c>
      <c r="J386" s="325" t="s">
        <v>907</v>
      </c>
      <c r="K386" s="259">
        <v>1905052</v>
      </c>
      <c r="L386" s="325" t="s">
        <v>74</v>
      </c>
      <c r="M386" s="259">
        <v>190505200</v>
      </c>
      <c r="N386" s="333" t="s">
        <v>75</v>
      </c>
      <c r="O386" s="272" t="s">
        <v>26</v>
      </c>
      <c r="P386" s="280">
        <v>1</v>
      </c>
      <c r="Q386" s="280">
        <v>0.6</v>
      </c>
      <c r="R386" s="281">
        <v>2024003630108</v>
      </c>
      <c r="S386" s="327" t="s">
        <v>912</v>
      </c>
      <c r="T386" s="328"/>
      <c r="U386" s="328"/>
      <c r="V386" s="328"/>
      <c r="W386" s="328"/>
      <c r="X386" s="328"/>
      <c r="Y386" s="328"/>
      <c r="Z386" s="328">
        <v>150000000</v>
      </c>
      <c r="AA386" s="328"/>
      <c r="AB386" s="328"/>
      <c r="AC386" s="328"/>
      <c r="AD386" s="328"/>
      <c r="AE386" s="328"/>
      <c r="AF386" s="328"/>
      <c r="AG386" s="328"/>
      <c r="AH386" s="328"/>
      <c r="AI386" s="328"/>
      <c r="AJ386" s="328"/>
      <c r="AK386" s="328"/>
      <c r="AL386" s="404"/>
      <c r="AM386" s="404"/>
      <c r="AN386" s="404"/>
      <c r="AO386" s="328"/>
      <c r="AP386" s="328"/>
      <c r="AQ386" s="328"/>
      <c r="AR386" s="328"/>
      <c r="AS386" s="328"/>
      <c r="AT386" s="328"/>
      <c r="AU386" s="328">
        <f t="shared" si="23"/>
        <v>150000000</v>
      </c>
      <c r="AV386" s="328">
        <f t="shared" si="21"/>
        <v>0</v>
      </c>
      <c r="AW386" s="328">
        <f t="shared" si="22"/>
        <v>0</v>
      </c>
      <c r="AX386" s="330" t="s">
        <v>795</v>
      </c>
      <c r="AY386" s="331"/>
      <c r="AZ386" s="331"/>
      <c r="BA386" s="331"/>
      <c r="BB386" s="331"/>
      <c r="BC386" s="331"/>
      <c r="BD386" s="331"/>
      <c r="BE386" s="331"/>
      <c r="BF386" s="331"/>
      <c r="BG386" s="331"/>
      <c r="BH386" s="331"/>
      <c r="BI386" s="331"/>
      <c r="BJ386" s="331"/>
      <c r="BK386" s="331"/>
      <c r="BL386" s="331"/>
      <c r="BM386" s="331"/>
      <c r="BN386" s="331"/>
      <c r="BO386" s="331"/>
      <c r="BP386" s="331"/>
      <c r="BQ386" s="331"/>
      <c r="BR386" s="331"/>
      <c r="BS386" s="331"/>
      <c r="BT386" s="331"/>
      <c r="BU386" s="331"/>
      <c r="BV386" s="331"/>
      <c r="BW386" s="331"/>
      <c r="BX386" s="331"/>
      <c r="BY386" s="331"/>
      <c r="BZ386" s="331"/>
      <c r="CA386" s="331"/>
      <c r="CB386" s="331"/>
      <c r="CC386" s="331"/>
      <c r="CD386" s="331"/>
      <c r="CE386" s="331"/>
      <c r="CF386" s="331"/>
      <c r="CG386" s="331"/>
      <c r="CH386" s="331"/>
      <c r="CI386" s="331"/>
      <c r="CJ386" s="331"/>
      <c r="CK386" s="331"/>
      <c r="CL386" s="331"/>
      <c r="CM386" s="331"/>
      <c r="CN386" s="331"/>
      <c r="CO386" s="331"/>
      <c r="CP386" s="331"/>
      <c r="CQ386" s="331"/>
      <c r="CR386" s="331"/>
      <c r="CS386" s="331"/>
      <c r="CT386" s="331"/>
      <c r="CU386" s="331"/>
      <c r="CV386" s="331"/>
      <c r="CW386" s="331"/>
      <c r="CX386" s="331"/>
      <c r="CY386" s="331"/>
      <c r="CZ386" s="331"/>
      <c r="DA386" s="331"/>
      <c r="DB386" s="331"/>
      <c r="DC386" s="331"/>
      <c r="DD386" s="331"/>
      <c r="DE386" s="331"/>
      <c r="DF386" s="331"/>
      <c r="DG386" s="331"/>
      <c r="DH386" s="331"/>
      <c r="DI386" s="331"/>
      <c r="DJ386" s="331"/>
      <c r="DK386" s="331"/>
      <c r="DL386" s="331"/>
      <c r="DM386" s="331"/>
      <c r="DN386" s="331"/>
      <c r="DO386" s="331"/>
      <c r="DP386" s="331"/>
      <c r="DQ386" s="331"/>
      <c r="DR386" s="331"/>
      <c r="DS386" s="331"/>
      <c r="DT386" s="331"/>
      <c r="DU386" s="331"/>
      <c r="DV386" s="331"/>
      <c r="DW386" s="331"/>
      <c r="DX386" s="331"/>
      <c r="DY386" s="331"/>
    </row>
    <row r="387" spans="1:129" s="331" customFormat="1" ht="63.75" x14ac:dyDescent="0.25">
      <c r="A387" s="257">
        <v>318</v>
      </c>
      <c r="B387" s="376" t="s">
        <v>791</v>
      </c>
      <c r="C387" s="257">
        <v>1</v>
      </c>
      <c r="D387" s="376" t="s">
        <v>105</v>
      </c>
      <c r="E387" s="257">
        <v>1</v>
      </c>
      <c r="F387" s="376" t="s">
        <v>112</v>
      </c>
      <c r="G387" s="257">
        <v>19</v>
      </c>
      <c r="H387" s="376" t="s">
        <v>195</v>
      </c>
      <c r="I387" s="257">
        <v>1905</v>
      </c>
      <c r="J387" s="376" t="s">
        <v>847</v>
      </c>
      <c r="K387" s="257">
        <v>1905009</v>
      </c>
      <c r="L387" s="376" t="s">
        <v>913</v>
      </c>
      <c r="M387" s="257">
        <v>190500900</v>
      </c>
      <c r="N387" s="388" t="s">
        <v>914</v>
      </c>
      <c r="O387" s="280" t="s">
        <v>26</v>
      </c>
      <c r="P387" s="280">
        <v>1</v>
      </c>
      <c r="Q387" s="280">
        <v>0.6</v>
      </c>
      <c r="R387" s="380">
        <v>2020003630134</v>
      </c>
      <c r="S387" s="500" t="s">
        <v>915</v>
      </c>
      <c r="T387" s="381"/>
      <c r="U387" s="381"/>
      <c r="V387" s="381"/>
      <c r="W387" s="381"/>
      <c r="X387" s="381"/>
      <c r="Y387" s="381"/>
      <c r="Z387" s="381"/>
      <c r="AA387" s="381"/>
      <c r="AB387" s="381"/>
      <c r="AC387" s="381"/>
      <c r="AD387" s="381"/>
      <c r="AE387" s="381"/>
      <c r="AF387" s="381"/>
      <c r="AG387" s="381"/>
      <c r="AH387" s="381"/>
      <c r="AI387" s="381"/>
      <c r="AJ387" s="381"/>
      <c r="AK387" s="381"/>
      <c r="AL387" s="400">
        <f>400000000-122586334</f>
        <v>277413666</v>
      </c>
      <c r="AM387" s="400">
        <v>277413666</v>
      </c>
      <c r="AN387" s="400">
        <v>275080333</v>
      </c>
      <c r="AO387" s="381"/>
      <c r="AP387" s="381"/>
      <c r="AQ387" s="381"/>
      <c r="AR387" s="381"/>
      <c r="AS387" s="381"/>
      <c r="AT387" s="381"/>
      <c r="AU387" s="381">
        <f t="shared" si="23"/>
        <v>277413666</v>
      </c>
      <c r="AV387" s="381">
        <f t="shared" si="21"/>
        <v>277413666</v>
      </c>
      <c r="AW387" s="381">
        <f t="shared" si="22"/>
        <v>275080333</v>
      </c>
      <c r="AX387" s="473" t="s">
        <v>795</v>
      </c>
      <c r="AY387" s="449"/>
    </row>
    <row r="388" spans="1:129" s="332" customFormat="1" ht="63.75" x14ac:dyDescent="0.25">
      <c r="A388" s="259">
        <v>318</v>
      </c>
      <c r="B388" s="325" t="s">
        <v>791</v>
      </c>
      <c r="C388" s="271"/>
      <c r="D388" s="386"/>
      <c r="E388" s="271">
        <v>1</v>
      </c>
      <c r="F388" s="386" t="s">
        <v>112</v>
      </c>
      <c r="G388" s="281">
        <v>19</v>
      </c>
      <c r="H388" s="385" t="s">
        <v>195</v>
      </c>
      <c r="I388" s="281">
        <v>1905</v>
      </c>
      <c r="J388" s="385" t="s">
        <v>683</v>
      </c>
      <c r="K388" s="281">
        <v>1905009</v>
      </c>
      <c r="L388" s="385" t="s">
        <v>914</v>
      </c>
      <c r="M388" s="285">
        <v>190500900</v>
      </c>
      <c r="N388" s="385" t="s">
        <v>914</v>
      </c>
      <c r="O388" s="272" t="s">
        <v>26</v>
      </c>
      <c r="P388" s="280">
        <v>1</v>
      </c>
      <c r="Q388" s="280">
        <v>0</v>
      </c>
      <c r="R388" s="281">
        <v>2024003630100</v>
      </c>
      <c r="S388" s="327" t="s">
        <v>916</v>
      </c>
      <c r="T388" s="328"/>
      <c r="U388" s="328"/>
      <c r="V388" s="328"/>
      <c r="W388" s="328"/>
      <c r="X388" s="328"/>
      <c r="Y388" s="328"/>
      <c r="Z388" s="328"/>
      <c r="AA388" s="328"/>
      <c r="AB388" s="328"/>
      <c r="AC388" s="328"/>
      <c r="AD388" s="328"/>
      <c r="AE388" s="328"/>
      <c r="AF388" s="328"/>
      <c r="AG388" s="328"/>
      <c r="AH388" s="328"/>
      <c r="AI388" s="328"/>
      <c r="AJ388" s="328"/>
      <c r="AK388" s="328"/>
      <c r="AL388" s="404">
        <v>208864590.06</v>
      </c>
      <c r="AM388" s="404">
        <v>140939998</v>
      </c>
      <c r="AN388" s="404">
        <v>60900000</v>
      </c>
      <c r="AO388" s="328"/>
      <c r="AP388" s="328"/>
      <c r="AQ388" s="328"/>
      <c r="AR388" s="328"/>
      <c r="AS388" s="328"/>
      <c r="AT388" s="328"/>
      <c r="AU388" s="328">
        <f t="shared" si="23"/>
        <v>208864590.06</v>
      </c>
      <c r="AV388" s="328">
        <f t="shared" si="21"/>
        <v>140939998</v>
      </c>
      <c r="AW388" s="328">
        <f t="shared" si="22"/>
        <v>60900000</v>
      </c>
      <c r="AX388" s="330" t="s">
        <v>795</v>
      </c>
      <c r="AY388" s="449"/>
      <c r="AZ388" s="331"/>
      <c r="BA388" s="331"/>
      <c r="BB388" s="331"/>
      <c r="BC388" s="331"/>
      <c r="BD388" s="331"/>
      <c r="BE388" s="331"/>
      <c r="BF388" s="331"/>
      <c r="BG388" s="331"/>
      <c r="BH388" s="331"/>
      <c r="BI388" s="331"/>
      <c r="BJ388" s="331"/>
      <c r="BK388" s="331"/>
      <c r="BL388" s="331"/>
      <c r="BM388" s="331"/>
      <c r="BN388" s="331"/>
      <c r="BO388" s="331"/>
      <c r="BP388" s="331"/>
      <c r="BQ388" s="331"/>
      <c r="BR388" s="331"/>
      <c r="BS388" s="331"/>
      <c r="BT388" s="331"/>
      <c r="BU388" s="331"/>
      <c r="BV388" s="331"/>
      <c r="BW388" s="331"/>
      <c r="BX388" s="331"/>
      <c r="BY388" s="331"/>
      <c r="BZ388" s="331"/>
      <c r="CA388" s="331"/>
      <c r="CB388" s="331"/>
      <c r="CC388" s="331"/>
      <c r="CD388" s="331"/>
      <c r="CE388" s="331"/>
      <c r="CF388" s="331"/>
      <c r="CG388" s="331"/>
      <c r="CH388" s="331"/>
      <c r="CI388" s="331"/>
      <c r="CJ388" s="331"/>
      <c r="CK388" s="331"/>
      <c r="CL388" s="331"/>
      <c r="CM388" s="331"/>
      <c r="CN388" s="331"/>
      <c r="CO388" s="331"/>
      <c r="CP388" s="331"/>
      <c r="CQ388" s="331"/>
      <c r="CR388" s="331"/>
      <c r="CS388" s="331"/>
      <c r="CT388" s="331"/>
      <c r="CU388" s="331"/>
      <c r="CV388" s="331"/>
      <c r="CW388" s="331"/>
      <c r="CX388" s="331"/>
      <c r="CY388" s="331"/>
      <c r="CZ388" s="331"/>
      <c r="DA388" s="331"/>
      <c r="DB388" s="331"/>
      <c r="DC388" s="331"/>
      <c r="DD388" s="331"/>
      <c r="DE388" s="331"/>
      <c r="DF388" s="331"/>
      <c r="DG388" s="331"/>
      <c r="DH388" s="331"/>
      <c r="DI388" s="331"/>
      <c r="DJ388" s="331"/>
      <c r="DK388" s="331"/>
      <c r="DL388" s="331"/>
      <c r="DM388" s="331"/>
      <c r="DN388" s="331"/>
      <c r="DO388" s="331"/>
      <c r="DP388" s="331"/>
      <c r="DQ388" s="331"/>
      <c r="DR388" s="331"/>
      <c r="DS388" s="331"/>
      <c r="DT388" s="331"/>
      <c r="DU388" s="331"/>
      <c r="DV388" s="331"/>
      <c r="DW388" s="331"/>
      <c r="DX388" s="331"/>
      <c r="DY388" s="331"/>
    </row>
    <row r="389" spans="1:129" s="331" customFormat="1" ht="102" x14ac:dyDescent="0.25">
      <c r="A389" s="257">
        <v>318</v>
      </c>
      <c r="B389" s="376" t="s">
        <v>791</v>
      </c>
      <c r="C389" s="257">
        <v>1</v>
      </c>
      <c r="D389" s="376" t="s">
        <v>105</v>
      </c>
      <c r="E389" s="257">
        <v>1</v>
      </c>
      <c r="F389" s="376" t="s">
        <v>112</v>
      </c>
      <c r="G389" s="257">
        <v>19</v>
      </c>
      <c r="H389" s="376" t="s">
        <v>195</v>
      </c>
      <c r="I389" s="257">
        <v>1905</v>
      </c>
      <c r="J389" s="376" t="s">
        <v>847</v>
      </c>
      <c r="K389" s="13">
        <v>1905031</v>
      </c>
      <c r="L389" s="376" t="s">
        <v>851</v>
      </c>
      <c r="M389" s="257">
        <v>190503100</v>
      </c>
      <c r="N389" s="388" t="s">
        <v>852</v>
      </c>
      <c r="O389" s="280" t="s">
        <v>26</v>
      </c>
      <c r="P389" s="280">
        <v>12</v>
      </c>
      <c r="Q389" s="280">
        <v>6</v>
      </c>
      <c r="R389" s="380">
        <v>2020003630135</v>
      </c>
      <c r="S389" s="500" t="s">
        <v>917</v>
      </c>
      <c r="T389" s="381"/>
      <c r="U389" s="381"/>
      <c r="V389" s="381"/>
      <c r="W389" s="381"/>
      <c r="X389" s="381"/>
      <c r="Y389" s="381"/>
      <c r="Z389" s="381">
        <f>1622896500-453263302</f>
        <v>1169633198</v>
      </c>
      <c r="AA389" s="381">
        <v>1169633198</v>
      </c>
      <c r="AB389" s="381">
        <v>596241998</v>
      </c>
      <c r="AC389" s="381"/>
      <c r="AD389" s="381"/>
      <c r="AE389" s="381"/>
      <c r="AF389" s="381"/>
      <c r="AG389" s="381"/>
      <c r="AH389" s="381"/>
      <c r="AI389" s="381"/>
      <c r="AJ389" s="381"/>
      <c r="AK389" s="381"/>
      <c r="AL389" s="400"/>
      <c r="AM389" s="400"/>
      <c r="AN389" s="400"/>
      <c r="AO389" s="381"/>
      <c r="AP389" s="381"/>
      <c r="AQ389" s="381"/>
      <c r="AR389" s="381"/>
      <c r="AS389" s="381"/>
      <c r="AT389" s="381"/>
      <c r="AU389" s="381">
        <f t="shared" si="23"/>
        <v>1169633198</v>
      </c>
      <c r="AV389" s="381">
        <f t="shared" si="21"/>
        <v>1169633198</v>
      </c>
      <c r="AW389" s="381">
        <f t="shared" si="22"/>
        <v>596241998</v>
      </c>
      <c r="AX389" s="473" t="s">
        <v>795</v>
      </c>
      <c r="AY389" s="449"/>
    </row>
    <row r="390" spans="1:129" s="332" customFormat="1" ht="102" x14ac:dyDescent="0.25">
      <c r="A390" s="259">
        <v>318</v>
      </c>
      <c r="B390" s="325" t="s">
        <v>791</v>
      </c>
      <c r="C390" s="259"/>
      <c r="D390" s="325"/>
      <c r="E390" s="259">
        <v>1</v>
      </c>
      <c r="F390" s="325" t="s">
        <v>112</v>
      </c>
      <c r="G390" s="259">
        <v>19</v>
      </c>
      <c r="H390" s="385" t="s">
        <v>195</v>
      </c>
      <c r="I390" s="259">
        <v>1905</v>
      </c>
      <c r="J390" s="325" t="s">
        <v>907</v>
      </c>
      <c r="K390" s="259">
        <v>1905031</v>
      </c>
      <c r="L390" s="325" t="s">
        <v>918</v>
      </c>
      <c r="M390" s="259">
        <v>190503100</v>
      </c>
      <c r="N390" s="325" t="s">
        <v>919</v>
      </c>
      <c r="O390" s="272" t="s">
        <v>26</v>
      </c>
      <c r="P390" s="280">
        <v>12</v>
      </c>
      <c r="Q390" s="280">
        <v>0</v>
      </c>
      <c r="R390" s="281">
        <v>2024003630125</v>
      </c>
      <c r="S390" s="327" t="s">
        <v>920</v>
      </c>
      <c r="T390" s="328"/>
      <c r="U390" s="328"/>
      <c r="V390" s="328"/>
      <c r="W390" s="328"/>
      <c r="X390" s="328"/>
      <c r="Y390" s="328"/>
      <c r="Z390" s="328">
        <f>510000000+287911190.6</f>
        <v>797911190.60000002</v>
      </c>
      <c r="AA390" s="328">
        <v>720938721</v>
      </c>
      <c r="AB390" s="328">
        <v>74400000</v>
      </c>
      <c r="AC390" s="328"/>
      <c r="AD390" s="328"/>
      <c r="AE390" s="328"/>
      <c r="AF390" s="328"/>
      <c r="AG390" s="328"/>
      <c r="AH390" s="328"/>
      <c r="AI390" s="328"/>
      <c r="AJ390" s="328"/>
      <c r="AK390" s="328"/>
      <c r="AL390" s="404"/>
      <c r="AM390" s="404"/>
      <c r="AN390" s="404"/>
      <c r="AO390" s="328"/>
      <c r="AP390" s="328"/>
      <c r="AQ390" s="328"/>
      <c r="AR390" s="328"/>
      <c r="AS390" s="328"/>
      <c r="AT390" s="328"/>
      <c r="AU390" s="328">
        <f t="shared" si="23"/>
        <v>797911190.60000002</v>
      </c>
      <c r="AV390" s="328">
        <f t="shared" si="21"/>
        <v>720938721</v>
      </c>
      <c r="AW390" s="328">
        <f t="shared" si="22"/>
        <v>74400000</v>
      </c>
      <c r="AX390" s="330" t="s">
        <v>795</v>
      </c>
      <c r="AY390" s="449"/>
      <c r="AZ390" s="331"/>
      <c r="BA390" s="331"/>
      <c r="BB390" s="331"/>
      <c r="BC390" s="331"/>
      <c r="BD390" s="331"/>
      <c r="BE390" s="331"/>
      <c r="BF390" s="331"/>
      <c r="BG390" s="331"/>
      <c r="BH390" s="331"/>
      <c r="BI390" s="331"/>
      <c r="BJ390" s="331"/>
      <c r="BK390" s="331"/>
      <c r="BL390" s="331"/>
      <c r="BM390" s="331"/>
      <c r="BN390" s="331"/>
      <c r="BO390" s="331"/>
      <c r="BP390" s="331"/>
      <c r="BQ390" s="331"/>
      <c r="BR390" s="331"/>
      <c r="BS390" s="331"/>
      <c r="BT390" s="331"/>
      <c r="BU390" s="331"/>
      <c r="BV390" s="331"/>
      <c r="BW390" s="331"/>
      <c r="BX390" s="331"/>
      <c r="BY390" s="331"/>
      <c r="BZ390" s="331"/>
      <c r="CA390" s="331"/>
      <c r="CB390" s="331"/>
      <c r="CC390" s="331"/>
      <c r="CD390" s="331"/>
      <c r="CE390" s="331"/>
      <c r="CF390" s="331"/>
      <c r="CG390" s="331"/>
      <c r="CH390" s="331"/>
      <c r="CI390" s="331"/>
      <c r="CJ390" s="331"/>
      <c r="CK390" s="331"/>
      <c r="CL390" s="331"/>
      <c r="CM390" s="331"/>
      <c r="CN390" s="331"/>
      <c r="CO390" s="331"/>
      <c r="CP390" s="331"/>
      <c r="CQ390" s="331"/>
      <c r="CR390" s="331"/>
      <c r="CS390" s="331"/>
      <c r="CT390" s="331"/>
      <c r="CU390" s="331"/>
      <c r="CV390" s="331"/>
      <c r="CW390" s="331"/>
      <c r="CX390" s="331"/>
      <c r="CY390" s="331"/>
      <c r="CZ390" s="331"/>
      <c r="DA390" s="331"/>
      <c r="DB390" s="331"/>
      <c r="DC390" s="331"/>
      <c r="DD390" s="331"/>
      <c r="DE390" s="331"/>
      <c r="DF390" s="331"/>
      <c r="DG390" s="331"/>
      <c r="DH390" s="331"/>
      <c r="DI390" s="331"/>
      <c r="DJ390" s="331"/>
      <c r="DK390" s="331"/>
      <c r="DL390" s="331"/>
      <c r="DM390" s="331"/>
      <c r="DN390" s="331"/>
      <c r="DO390" s="331"/>
      <c r="DP390" s="331"/>
      <c r="DQ390" s="331"/>
      <c r="DR390" s="331"/>
      <c r="DS390" s="331"/>
      <c r="DT390" s="331"/>
      <c r="DU390" s="331"/>
      <c r="DV390" s="331"/>
      <c r="DW390" s="331"/>
      <c r="DX390" s="331"/>
      <c r="DY390" s="331"/>
    </row>
    <row r="391" spans="1:129" s="332" customFormat="1" ht="89.25" x14ac:dyDescent="0.25">
      <c r="A391" s="259">
        <v>318</v>
      </c>
      <c r="B391" s="325" t="s">
        <v>791</v>
      </c>
      <c r="C391" s="259"/>
      <c r="D391" s="325"/>
      <c r="E391" s="259">
        <v>1</v>
      </c>
      <c r="F391" s="325" t="s">
        <v>112</v>
      </c>
      <c r="G391" s="259">
        <v>19</v>
      </c>
      <c r="H391" s="385" t="s">
        <v>195</v>
      </c>
      <c r="I391" s="259">
        <v>1905</v>
      </c>
      <c r="J391" s="325" t="s">
        <v>907</v>
      </c>
      <c r="K391" s="259">
        <v>1905050</v>
      </c>
      <c r="L391" s="325" t="s">
        <v>69</v>
      </c>
      <c r="M391" s="259">
        <v>190505004</v>
      </c>
      <c r="N391" s="325" t="s">
        <v>921</v>
      </c>
      <c r="O391" s="272" t="s">
        <v>26</v>
      </c>
      <c r="P391" s="280">
        <v>12</v>
      </c>
      <c r="Q391" s="280">
        <v>3</v>
      </c>
      <c r="R391" s="281">
        <v>2024003630125</v>
      </c>
      <c r="S391" s="327" t="s">
        <v>920</v>
      </c>
      <c r="T391" s="328"/>
      <c r="U391" s="328"/>
      <c r="V391" s="328"/>
      <c r="W391" s="328"/>
      <c r="X391" s="328"/>
      <c r="Y391" s="328"/>
      <c r="Z391" s="328">
        <f>215138350.6-73000000</f>
        <v>142138350.59999999</v>
      </c>
      <c r="AA391" s="328">
        <v>76966665</v>
      </c>
      <c r="AB391" s="328">
        <v>39400000</v>
      </c>
      <c r="AC391" s="328"/>
      <c r="AD391" s="328"/>
      <c r="AE391" s="328"/>
      <c r="AF391" s="328"/>
      <c r="AG391" s="328"/>
      <c r="AH391" s="328"/>
      <c r="AI391" s="328"/>
      <c r="AJ391" s="328"/>
      <c r="AK391" s="328"/>
      <c r="AL391" s="404"/>
      <c r="AM391" s="404"/>
      <c r="AN391" s="404"/>
      <c r="AO391" s="328"/>
      <c r="AP391" s="328"/>
      <c r="AQ391" s="328"/>
      <c r="AR391" s="328"/>
      <c r="AS391" s="328"/>
      <c r="AT391" s="328"/>
      <c r="AU391" s="467">
        <f t="shared" si="23"/>
        <v>142138350.59999999</v>
      </c>
      <c r="AV391" s="467">
        <f t="shared" si="21"/>
        <v>76966665</v>
      </c>
      <c r="AW391" s="467">
        <f t="shared" si="22"/>
        <v>39400000</v>
      </c>
      <c r="AX391" s="330" t="s">
        <v>795</v>
      </c>
      <c r="AY391" s="449"/>
      <c r="AZ391" s="331"/>
      <c r="BA391" s="331"/>
      <c r="BB391" s="331"/>
      <c r="BC391" s="331"/>
      <c r="BD391" s="331"/>
      <c r="BE391" s="331"/>
      <c r="BF391" s="331"/>
      <c r="BG391" s="331"/>
      <c r="BH391" s="331"/>
      <c r="BI391" s="331"/>
      <c r="BJ391" s="331"/>
      <c r="BK391" s="331"/>
      <c r="BL391" s="331"/>
      <c r="BM391" s="331"/>
      <c r="BN391" s="331"/>
      <c r="BO391" s="331"/>
      <c r="BP391" s="331"/>
      <c r="BQ391" s="331"/>
      <c r="BR391" s="331"/>
      <c r="BS391" s="331"/>
      <c r="BT391" s="331"/>
      <c r="BU391" s="331"/>
      <c r="BV391" s="331"/>
      <c r="BW391" s="331"/>
      <c r="BX391" s="331"/>
      <c r="BY391" s="331"/>
      <c r="BZ391" s="331"/>
      <c r="CA391" s="331"/>
      <c r="CB391" s="331"/>
      <c r="CC391" s="331"/>
      <c r="CD391" s="331"/>
      <c r="CE391" s="331"/>
      <c r="CF391" s="331"/>
      <c r="CG391" s="331"/>
      <c r="CH391" s="331"/>
      <c r="CI391" s="331"/>
      <c r="CJ391" s="331"/>
      <c r="CK391" s="331"/>
      <c r="CL391" s="331"/>
      <c r="CM391" s="331"/>
      <c r="CN391" s="331"/>
      <c r="CO391" s="331"/>
      <c r="CP391" s="331"/>
      <c r="CQ391" s="331"/>
      <c r="CR391" s="331"/>
      <c r="CS391" s="331"/>
      <c r="CT391" s="331"/>
      <c r="CU391" s="331"/>
      <c r="CV391" s="331"/>
      <c r="CW391" s="331"/>
      <c r="CX391" s="331"/>
      <c r="CY391" s="331"/>
      <c r="CZ391" s="331"/>
      <c r="DA391" s="331"/>
      <c r="DB391" s="331"/>
      <c r="DC391" s="331"/>
      <c r="DD391" s="331"/>
      <c r="DE391" s="331"/>
      <c r="DF391" s="331"/>
      <c r="DG391" s="331"/>
      <c r="DH391" s="331"/>
      <c r="DI391" s="331"/>
      <c r="DJ391" s="331"/>
      <c r="DK391" s="331"/>
      <c r="DL391" s="331"/>
      <c r="DM391" s="331"/>
      <c r="DN391" s="331"/>
      <c r="DO391" s="331"/>
      <c r="DP391" s="331"/>
      <c r="DQ391" s="331"/>
      <c r="DR391" s="331"/>
      <c r="DS391" s="331"/>
      <c r="DT391" s="331"/>
      <c r="DU391" s="331"/>
      <c r="DV391" s="331"/>
      <c r="DW391" s="331"/>
      <c r="DX391" s="331"/>
      <c r="DY391" s="331"/>
    </row>
    <row r="392" spans="1:129" s="332" customFormat="1" ht="76.5" x14ac:dyDescent="0.25">
      <c r="A392" s="259">
        <v>318</v>
      </c>
      <c r="B392" s="325" t="s">
        <v>791</v>
      </c>
      <c r="C392" s="259"/>
      <c r="D392" s="325"/>
      <c r="E392" s="259">
        <v>1</v>
      </c>
      <c r="F392" s="325" t="s">
        <v>112</v>
      </c>
      <c r="G392" s="259">
        <v>19</v>
      </c>
      <c r="H392" s="385" t="s">
        <v>195</v>
      </c>
      <c r="I392" s="259">
        <v>1905</v>
      </c>
      <c r="J392" s="325" t="s">
        <v>907</v>
      </c>
      <c r="K392" s="259">
        <v>1905051</v>
      </c>
      <c r="L392" s="325" t="s">
        <v>922</v>
      </c>
      <c r="M392" s="259">
        <v>190505101</v>
      </c>
      <c r="N392" s="325" t="s">
        <v>923</v>
      </c>
      <c r="O392" s="272" t="s">
        <v>26</v>
      </c>
      <c r="P392" s="280">
        <v>1</v>
      </c>
      <c r="Q392" s="280">
        <v>0</v>
      </c>
      <c r="R392" s="281">
        <v>2024003630125</v>
      </c>
      <c r="S392" s="327" t="s">
        <v>920</v>
      </c>
      <c r="T392" s="328"/>
      <c r="U392" s="328"/>
      <c r="V392" s="328"/>
      <c r="W392" s="328"/>
      <c r="X392" s="328"/>
      <c r="Y392" s="328"/>
      <c r="Z392" s="328">
        <f>214911190.86-0.26-214911190.6</f>
        <v>0</v>
      </c>
      <c r="AA392" s="328"/>
      <c r="AB392" s="328"/>
      <c r="AC392" s="328"/>
      <c r="AD392" s="328"/>
      <c r="AE392" s="328"/>
      <c r="AF392" s="328"/>
      <c r="AG392" s="328"/>
      <c r="AH392" s="328"/>
      <c r="AI392" s="328"/>
      <c r="AJ392" s="328"/>
      <c r="AK392" s="328"/>
      <c r="AL392" s="404"/>
      <c r="AM392" s="404"/>
      <c r="AN392" s="404"/>
      <c r="AO392" s="328"/>
      <c r="AP392" s="328"/>
      <c r="AQ392" s="328"/>
      <c r="AR392" s="328"/>
      <c r="AS392" s="328"/>
      <c r="AT392" s="328"/>
      <c r="AU392" s="328">
        <f t="shared" si="23"/>
        <v>0</v>
      </c>
      <c r="AV392" s="328">
        <f t="shared" si="21"/>
        <v>0</v>
      </c>
      <c r="AW392" s="328">
        <f t="shared" si="22"/>
        <v>0</v>
      </c>
      <c r="AX392" s="330" t="s">
        <v>795</v>
      </c>
      <c r="AY392" s="449"/>
      <c r="AZ392" s="331"/>
      <c r="BA392" s="331"/>
      <c r="BB392" s="331"/>
      <c r="BC392" s="331"/>
      <c r="BD392" s="331"/>
      <c r="BE392" s="331"/>
      <c r="BF392" s="331"/>
      <c r="BG392" s="331"/>
      <c r="BH392" s="331"/>
      <c r="BI392" s="331"/>
      <c r="BJ392" s="331"/>
      <c r="BK392" s="331"/>
      <c r="BL392" s="331"/>
      <c r="BM392" s="331"/>
      <c r="BN392" s="331"/>
      <c r="BO392" s="331"/>
      <c r="BP392" s="331"/>
      <c r="BQ392" s="331"/>
      <c r="BR392" s="331"/>
      <c r="BS392" s="331"/>
      <c r="BT392" s="331"/>
      <c r="BU392" s="331"/>
      <c r="BV392" s="331"/>
      <c r="BW392" s="331"/>
      <c r="BX392" s="331"/>
      <c r="BY392" s="331"/>
      <c r="BZ392" s="331"/>
      <c r="CA392" s="331"/>
      <c r="CB392" s="331"/>
      <c r="CC392" s="331"/>
      <c r="CD392" s="331"/>
      <c r="CE392" s="331"/>
      <c r="CF392" s="331"/>
      <c r="CG392" s="331"/>
      <c r="CH392" s="331"/>
      <c r="CI392" s="331"/>
      <c r="CJ392" s="331"/>
      <c r="CK392" s="331"/>
      <c r="CL392" s="331"/>
      <c r="CM392" s="331"/>
      <c r="CN392" s="331"/>
      <c r="CO392" s="331"/>
      <c r="CP392" s="331"/>
      <c r="CQ392" s="331"/>
      <c r="CR392" s="331"/>
      <c r="CS392" s="331"/>
      <c r="CT392" s="331"/>
      <c r="CU392" s="331"/>
      <c r="CV392" s="331"/>
      <c r="CW392" s="331"/>
      <c r="CX392" s="331"/>
      <c r="CY392" s="331"/>
      <c r="CZ392" s="331"/>
      <c r="DA392" s="331"/>
      <c r="DB392" s="331"/>
      <c r="DC392" s="331"/>
      <c r="DD392" s="331"/>
      <c r="DE392" s="331"/>
      <c r="DF392" s="331"/>
      <c r="DG392" s="331"/>
      <c r="DH392" s="331"/>
      <c r="DI392" s="331"/>
      <c r="DJ392" s="331"/>
      <c r="DK392" s="331"/>
      <c r="DL392" s="331"/>
      <c r="DM392" s="331"/>
      <c r="DN392" s="331"/>
      <c r="DO392" s="331"/>
      <c r="DP392" s="331"/>
      <c r="DQ392" s="331"/>
      <c r="DR392" s="331"/>
      <c r="DS392" s="331"/>
      <c r="DT392" s="331"/>
      <c r="DU392" s="331"/>
      <c r="DV392" s="331"/>
      <c r="DW392" s="331"/>
      <c r="DX392" s="331"/>
      <c r="DY392" s="331"/>
    </row>
    <row r="393" spans="1:129" s="459" customFormat="1" ht="102" x14ac:dyDescent="0.25">
      <c r="A393" s="292">
        <v>318</v>
      </c>
      <c r="B393" s="454" t="s">
        <v>791</v>
      </c>
      <c r="C393" s="292">
        <v>1</v>
      </c>
      <c r="D393" s="454" t="s">
        <v>105</v>
      </c>
      <c r="E393" s="292">
        <v>1</v>
      </c>
      <c r="F393" s="454" t="s">
        <v>112</v>
      </c>
      <c r="G393" s="292">
        <v>19</v>
      </c>
      <c r="H393" s="454" t="s">
        <v>195</v>
      </c>
      <c r="I393" s="292">
        <v>1906</v>
      </c>
      <c r="J393" s="454" t="s">
        <v>924</v>
      </c>
      <c r="K393" s="292">
        <v>1906023</v>
      </c>
      <c r="L393" s="454" t="s">
        <v>925</v>
      </c>
      <c r="M393" s="292">
        <v>190602300</v>
      </c>
      <c r="N393" s="453" t="s">
        <v>926</v>
      </c>
      <c r="O393" s="299" t="s">
        <v>26</v>
      </c>
      <c r="P393" s="299">
        <v>19899</v>
      </c>
      <c r="Q393" s="299">
        <v>276524</v>
      </c>
      <c r="R393" s="337">
        <v>2020003630136</v>
      </c>
      <c r="S393" s="499" t="s">
        <v>927</v>
      </c>
      <c r="T393" s="457"/>
      <c r="U393" s="457"/>
      <c r="V393" s="457"/>
      <c r="W393" s="457"/>
      <c r="X393" s="457"/>
      <c r="Y393" s="457"/>
      <c r="Z393" s="457"/>
      <c r="AA393" s="457"/>
      <c r="AB393" s="457"/>
      <c r="AC393" s="470">
        <f>43270329100</f>
        <v>43270329100</v>
      </c>
      <c r="AD393" s="470">
        <v>43270329100</v>
      </c>
      <c r="AE393" s="470">
        <v>34487337037.80999</v>
      </c>
      <c r="AF393" s="457"/>
      <c r="AG393" s="457"/>
      <c r="AH393" s="457"/>
      <c r="AI393" s="457"/>
      <c r="AJ393" s="457"/>
      <c r="AK393" s="457"/>
      <c r="AL393" s="470">
        <v>2943616443.3899999</v>
      </c>
      <c r="AM393" s="470">
        <v>2943616443.3899999</v>
      </c>
      <c r="AN393" s="470">
        <v>2943616443.3899999</v>
      </c>
      <c r="AO393" s="457"/>
      <c r="AP393" s="457"/>
      <c r="AQ393" s="457"/>
      <c r="AR393" s="457"/>
      <c r="AS393" s="457"/>
      <c r="AT393" s="457"/>
      <c r="AU393" s="457">
        <f t="shared" si="23"/>
        <v>46213945543.389999</v>
      </c>
      <c r="AV393" s="457">
        <f t="shared" si="21"/>
        <v>46213945543.389999</v>
      </c>
      <c r="AW393" s="457">
        <f t="shared" si="22"/>
        <v>37430953481.199989</v>
      </c>
      <c r="AX393" s="475" t="s">
        <v>795</v>
      </c>
    </row>
    <row r="394" spans="1:129" s="332" customFormat="1" ht="102" x14ac:dyDescent="0.25">
      <c r="A394" s="259">
        <v>318</v>
      </c>
      <c r="B394" s="325" t="s">
        <v>791</v>
      </c>
      <c r="C394" s="259"/>
      <c r="D394" s="325"/>
      <c r="E394" s="259">
        <v>1</v>
      </c>
      <c r="F394" s="325" t="s">
        <v>112</v>
      </c>
      <c r="G394" s="259">
        <v>19</v>
      </c>
      <c r="H394" s="385" t="s">
        <v>195</v>
      </c>
      <c r="I394" s="259">
        <v>1906</v>
      </c>
      <c r="J394" s="325" t="s">
        <v>924</v>
      </c>
      <c r="K394" s="259">
        <v>1906023</v>
      </c>
      <c r="L394" s="325" t="s">
        <v>925</v>
      </c>
      <c r="M394" s="259">
        <v>190602300</v>
      </c>
      <c r="N394" s="333" t="s">
        <v>926</v>
      </c>
      <c r="O394" s="272" t="s">
        <v>26</v>
      </c>
      <c r="P394" s="259">
        <v>19899</v>
      </c>
      <c r="Q394" s="259">
        <v>0</v>
      </c>
      <c r="R394" s="281">
        <v>2024003630104</v>
      </c>
      <c r="S394" s="327" t="s">
        <v>928</v>
      </c>
      <c r="T394" s="328"/>
      <c r="U394" s="328"/>
      <c r="V394" s="328"/>
      <c r="W394" s="328"/>
      <c r="X394" s="328"/>
      <c r="Y394" s="328"/>
      <c r="Z394" s="328"/>
      <c r="AA394" s="328"/>
      <c r="AB394" s="328"/>
      <c r="AC394" s="404"/>
      <c r="AD394" s="404"/>
      <c r="AE394" s="404"/>
      <c r="AF394" s="328"/>
      <c r="AG394" s="328"/>
      <c r="AH394" s="328"/>
      <c r="AI394" s="328"/>
      <c r="AJ394" s="328"/>
      <c r="AK394" s="328"/>
      <c r="AL394" s="404"/>
      <c r="AM394" s="404"/>
      <c r="AN394" s="404"/>
      <c r="AO394" s="328"/>
      <c r="AP394" s="328"/>
      <c r="AQ394" s="328"/>
      <c r="AR394" s="328"/>
      <c r="AS394" s="328"/>
      <c r="AT394" s="328"/>
      <c r="AU394" s="328">
        <f t="shared" si="23"/>
        <v>0</v>
      </c>
      <c r="AV394" s="328">
        <f t="shared" si="21"/>
        <v>0</v>
      </c>
      <c r="AW394" s="328">
        <f t="shared" si="22"/>
        <v>0</v>
      </c>
      <c r="AX394" s="330" t="s">
        <v>795</v>
      </c>
      <c r="AY394" s="331"/>
      <c r="AZ394" s="331"/>
      <c r="BA394" s="331"/>
      <c r="BB394" s="331"/>
      <c r="BC394" s="331"/>
      <c r="BD394" s="331"/>
      <c r="BE394" s="331"/>
      <c r="BF394" s="331"/>
      <c r="BG394" s="331"/>
      <c r="BH394" s="331"/>
      <c r="BI394" s="331"/>
      <c r="BJ394" s="331"/>
      <c r="BK394" s="331"/>
      <c r="BL394" s="331"/>
      <c r="BM394" s="331"/>
      <c r="BN394" s="331"/>
      <c r="BO394" s="331"/>
      <c r="BP394" s="331"/>
      <c r="BQ394" s="331"/>
      <c r="BR394" s="331"/>
      <c r="BS394" s="331"/>
      <c r="BT394" s="331"/>
      <c r="BU394" s="331"/>
      <c r="BV394" s="331"/>
      <c r="BW394" s="331"/>
      <c r="BX394" s="331"/>
      <c r="BY394" s="331"/>
      <c r="BZ394" s="331"/>
      <c r="CA394" s="331"/>
      <c r="CB394" s="331"/>
      <c r="CC394" s="331"/>
      <c r="CD394" s="331"/>
      <c r="CE394" s="331"/>
      <c r="CF394" s="331"/>
      <c r="CG394" s="331"/>
      <c r="CH394" s="331"/>
      <c r="CI394" s="331"/>
      <c r="CJ394" s="331"/>
      <c r="CK394" s="331"/>
      <c r="CL394" s="331"/>
      <c r="CM394" s="331"/>
      <c r="CN394" s="331"/>
      <c r="CO394" s="331"/>
      <c r="CP394" s="331"/>
      <c r="CQ394" s="331"/>
      <c r="CR394" s="331"/>
      <c r="CS394" s="331"/>
      <c r="CT394" s="331"/>
      <c r="CU394" s="331"/>
      <c r="CV394" s="331"/>
      <c r="CW394" s="331"/>
      <c r="CX394" s="331"/>
      <c r="CY394" s="331"/>
      <c r="CZ394" s="331"/>
      <c r="DA394" s="331"/>
      <c r="DB394" s="331"/>
      <c r="DC394" s="331"/>
      <c r="DD394" s="331"/>
      <c r="DE394" s="331"/>
      <c r="DF394" s="331"/>
      <c r="DG394" s="331"/>
      <c r="DH394" s="331"/>
      <c r="DI394" s="331"/>
      <c r="DJ394" s="331"/>
      <c r="DK394" s="331"/>
      <c r="DL394" s="331"/>
      <c r="DM394" s="331"/>
      <c r="DN394" s="331"/>
      <c r="DO394" s="331"/>
      <c r="DP394" s="331"/>
      <c r="DQ394" s="331"/>
      <c r="DR394" s="331"/>
      <c r="DS394" s="331"/>
      <c r="DT394" s="331"/>
      <c r="DU394" s="331"/>
      <c r="DV394" s="331"/>
      <c r="DW394" s="331"/>
      <c r="DX394" s="331"/>
      <c r="DY394" s="331"/>
    </row>
    <row r="395" spans="1:129" s="331" customFormat="1" ht="102" x14ac:dyDescent="0.25">
      <c r="A395" s="257">
        <v>318</v>
      </c>
      <c r="B395" s="376" t="s">
        <v>791</v>
      </c>
      <c r="C395" s="257">
        <v>1</v>
      </c>
      <c r="D395" s="376" t="s">
        <v>105</v>
      </c>
      <c r="E395" s="257">
        <v>1</v>
      </c>
      <c r="F395" s="376" t="s">
        <v>112</v>
      </c>
      <c r="G395" s="257">
        <v>19</v>
      </c>
      <c r="H395" s="376" t="s">
        <v>195</v>
      </c>
      <c r="I395" s="257">
        <v>1906</v>
      </c>
      <c r="J395" s="376" t="s">
        <v>924</v>
      </c>
      <c r="K395" s="257">
        <v>1906023</v>
      </c>
      <c r="L395" s="376" t="s">
        <v>925</v>
      </c>
      <c r="M395" s="280">
        <v>190602301</v>
      </c>
      <c r="N395" s="388" t="s">
        <v>929</v>
      </c>
      <c r="O395" s="280" t="s">
        <v>26</v>
      </c>
      <c r="P395" s="280">
        <v>60</v>
      </c>
      <c r="Q395" s="280">
        <v>0</v>
      </c>
      <c r="R395" s="380">
        <v>2020003630137</v>
      </c>
      <c r="S395" s="392" t="s">
        <v>930</v>
      </c>
      <c r="T395" s="381"/>
      <c r="U395" s="381"/>
      <c r="V395" s="381"/>
      <c r="W395" s="381">
        <f>50000000-50000000</f>
        <v>0</v>
      </c>
      <c r="X395" s="381"/>
      <c r="Y395" s="381"/>
      <c r="Z395" s="381"/>
      <c r="AA395" s="381"/>
      <c r="AB395" s="381"/>
      <c r="AC395" s="400">
        <f>2168924867.99-1276640137.99</f>
        <v>892284729.99999976</v>
      </c>
      <c r="AD395" s="400">
        <v>682224592</v>
      </c>
      <c r="AE395" s="400">
        <v>682224592</v>
      </c>
      <c r="AF395" s="381"/>
      <c r="AG395" s="381"/>
      <c r="AH395" s="381"/>
      <c r="AI395" s="381"/>
      <c r="AJ395" s="381"/>
      <c r="AK395" s="381"/>
      <c r="AL395" s="400"/>
      <c r="AM395" s="400"/>
      <c r="AN395" s="400"/>
      <c r="AO395" s="381"/>
      <c r="AP395" s="381"/>
      <c r="AQ395" s="381"/>
      <c r="AR395" s="381">
        <f>2755000000-1144770000</f>
        <v>1610230000</v>
      </c>
      <c r="AS395" s="381">
        <v>1591130797</v>
      </c>
      <c r="AT395" s="381">
        <v>1591130797</v>
      </c>
      <c r="AU395" s="381">
        <f t="shared" si="23"/>
        <v>2502514730</v>
      </c>
      <c r="AV395" s="381">
        <f t="shared" si="21"/>
        <v>2273355389</v>
      </c>
      <c r="AW395" s="381">
        <f t="shared" si="22"/>
        <v>2273355389</v>
      </c>
      <c r="AX395" s="473" t="s">
        <v>795</v>
      </c>
    </row>
    <row r="396" spans="1:129" s="332" customFormat="1" ht="102" x14ac:dyDescent="0.25">
      <c r="A396" s="259">
        <v>318</v>
      </c>
      <c r="B396" s="325" t="s">
        <v>791</v>
      </c>
      <c r="C396" s="259"/>
      <c r="D396" s="325"/>
      <c r="E396" s="259">
        <v>1</v>
      </c>
      <c r="F396" s="325" t="s">
        <v>112</v>
      </c>
      <c r="G396" s="259">
        <v>19</v>
      </c>
      <c r="H396" s="385" t="s">
        <v>195</v>
      </c>
      <c r="I396" s="259">
        <v>1906</v>
      </c>
      <c r="J396" s="325" t="s">
        <v>924</v>
      </c>
      <c r="K396" s="259">
        <v>1906023</v>
      </c>
      <c r="L396" s="325" t="s">
        <v>925</v>
      </c>
      <c r="M396" s="259">
        <v>190602301</v>
      </c>
      <c r="N396" s="333" t="s">
        <v>929</v>
      </c>
      <c r="O396" s="272" t="s">
        <v>26</v>
      </c>
      <c r="P396" s="259">
        <v>45</v>
      </c>
      <c r="Q396" s="259">
        <v>45</v>
      </c>
      <c r="R396" s="281">
        <v>2024003630101</v>
      </c>
      <c r="S396" s="327" t="s">
        <v>931</v>
      </c>
      <c r="T396" s="328"/>
      <c r="U396" s="328"/>
      <c r="V396" s="328"/>
      <c r="W396" s="328">
        <v>50000000</v>
      </c>
      <c r="X396" s="328"/>
      <c r="Y396" s="328"/>
      <c r="Z396" s="328"/>
      <c r="AA396" s="328"/>
      <c r="AB396" s="328"/>
      <c r="AC396" s="404"/>
      <c r="AD396" s="404"/>
      <c r="AE396" s="404"/>
      <c r="AF396" s="328"/>
      <c r="AG396" s="328"/>
      <c r="AH396" s="328"/>
      <c r="AI396" s="328"/>
      <c r="AJ396" s="328"/>
      <c r="AK396" s="328"/>
      <c r="AL396" s="404"/>
      <c r="AM396" s="404"/>
      <c r="AN396" s="404"/>
      <c r="AO396" s="328"/>
      <c r="AP396" s="328"/>
      <c r="AQ396" s="328"/>
      <c r="AR396" s="328">
        <f>2465482000+310230000</f>
        <v>2775712000</v>
      </c>
      <c r="AS396" s="328">
        <v>2410178000</v>
      </c>
      <c r="AT396" s="328">
        <v>910178000</v>
      </c>
      <c r="AU396" s="328">
        <f t="shared" si="23"/>
        <v>2825712000</v>
      </c>
      <c r="AV396" s="328">
        <f t="shared" ref="AV396:AV434" si="24">SUM(U396,X396,AA396,AD396,AG396,AJ396,AM396,AP396,AS396)</f>
        <v>2410178000</v>
      </c>
      <c r="AW396" s="328">
        <f t="shared" ref="AW396:AW434" si="25">SUM(V396,Y396,AB396,AE396,AH396,AK396,AN396,AQ396,AT396)</f>
        <v>910178000</v>
      </c>
      <c r="AX396" s="330" t="s">
        <v>795</v>
      </c>
      <c r="AY396" s="331"/>
      <c r="AZ396" s="331"/>
      <c r="BA396" s="331"/>
      <c r="BB396" s="331"/>
      <c r="BC396" s="331"/>
      <c r="BD396" s="331"/>
      <c r="BE396" s="331"/>
      <c r="BF396" s="331"/>
      <c r="BG396" s="331"/>
      <c r="BH396" s="331"/>
      <c r="BI396" s="331"/>
      <c r="BJ396" s="331"/>
      <c r="BK396" s="331"/>
      <c r="BL396" s="331"/>
      <c r="BM396" s="331"/>
      <c r="BN396" s="331"/>
      <c r="BO396" s="331"/>
      <c r="BP396" s="331"/>
      <c r="BQ396" s="331"/>
      <c r="BR396" s="331"/>
      <c r="BS396" s="331"/>
      <c r="BT396" s="331"/>
      <c r="BU396" s="331"/>
      <c r="BV396" s="331"/>
      <c r="BW396" s="331"/>
      <c r="BX396" s="331"/>
      <c r="BY396" s="331"/>
      <c r="BZ396" s="331"/>
      <c r="CA396" s="331"/>
      <c r="CB396" s="331"/>
      <c r="CC396" s="331"/>
      <c r="CD396" s="331"/>
      <c r="CE396" s="331"/>
      <c r="CF396" s="331"/>
      <c r="CG396" s="331"/>
      <c r="CH396" s="331"/>
      <c r="CI396" s="331"/>
      <c r="CJ396" s="331"/>
      <c r="CK396" s="331"/>
      <c r="CL396" s="331"/>
      <c r="CM396" s="331"/>
      <c r="CN396" s="331"/>
      <c r="CO396" s="331"/>
      <c r="CP396" s="331"/>
      <c r="CQ396" s="331"/>
      <c r="CR396" s="331"/>
      <c r="CS396" s="331"/>
      <c r="CT396" s="331"/>
      <c r="CU396" s="331"/>
      <c r="CV396" s="331"/>
      <c r="CW396" s="331"/>
      <c r="CX396" s="331"/>
      <c r="CY396" s="331"/>
      <c r="CZ396" s="331"/>
      <c r="DA396" s="331"/>
      <c r="DB396" s="331"/>
      <c r="DC396" s="331"/>
      <c r="DD396" s="331"/>
      <c r="DE396" s="331"/>
      <c r="DF396" s="331"/>
      <c r="DG396" s="331"/>
      <c r="DH396" s="331"/>
      <c r="DI396" s="331"/>
      <c r="DJ396" s="331"/>
      <c r="DK396" s="331"/>
      <c r="DL396" s="331"/>
      <c r="DM396" s="331"/>
      <c r="DN396" s="331"/>
      <c r="DO396" s="331"/>
      <c r="DP396" s="331"/>
      <c r="DQ396" s="331"/>
      <c r="DR396" s="331"/>
      <c r="DS396" s="331"/>
      <c r="DT396" s="331"/>
      <c r="DU396" s="331"/>
      <c r="DV396" s="331"/>
      <c r="DW396" s="331"/>
      <c r="DX396" s="331"/>
      <c r="DY396" s="331"/>
    </row>
    <row r="397" spans="1:129" s="331" customFormat="1" ht="114.75" x14ac:dyDescent="0.25">
      <c r="A397" s="257">
        <v>318</v>
      </c>
      <c r="B397" s="376" t="s">
        <v>791</v>
      </c>
      <c r="C397" s="257">
        <v>1</v>
      </c>
      <c r="D397" s="376" t="s">
        <v>105</v>
      </c>
      <c r="E397" s="257">
        <v>1</v>
      </c>
      <c r="F397" s="376" t="s">
        <v>112</v>
      </c>
      <c r="G397" s="257">
        <v>19</v>
      </c>
      <c r="H397" s="376" t="s">
        <v>195</v>
      </c>
      <c r="I397" s="257">
        <v>1906</v>
      </c>
      <c r="J397" s="376" t="s">
        <v>924</v>
      </c>
      <c r="K397" s="257">
        <v>1906025</v>
      </c>
      <c r="L397" s="376" t="s">
        <v>932</v>
      </c>
      <c r="M397" s="257">
        <v>190602500</v>
      </c>
      <c r="N397" s="388" t="s">
        <v>933</v>
      </c>
      <c r="O397" s="280" t="s">
        <v>26</v>
      </c>
      <c r="P397" s="280">
        <v>100</v>
      </c>
      <c r="Q397" s="280">
        <v>50</v>
      </c>
      <c r="R397" s="380">
        <v>2020003630137</v>
      </c>
      <c r="S397" s="500" t="s">
        <v>930</v>
      </c>
      <c r="T397" s="381"/>
      <c r="U397" s="381"/>
      <c r="V397" s="381"/>
      <c r="W397" s="381"/>
      <c r="X397" s="381"/>
      <c r="Y397" s="381"/>
      <c r="Z397" s="381">
        <f>2149092000+33471834.84</f>
        <v>2182563834.8400002</v>
      </c>
      <c r="AA397" s="381">
        <v>2182563834.8400002</v>
      </c>
      <c r="AB397" s="381">
        <v>1658748488</v>
      </c>
      <c r="AC397" s="381">
        <f>5931674500-5931674500</f>
        <v>0</v>
      </c>
      <c r="AD397" s="381"/>
      <c r="AE397" s="381"/>
      <c r="AF397" s="381"/>
      <c r="AG397" s="381"/>
      <c r="AH397" s="381"/>
      <c r="AI397" s="381"/>
      <c r="AJ397" s="381"/>
      <c r="AK397" s="381"/>
      <c r="AL397" s="400"/>
      <c r="AM397" s="400"/>
      <c r="AN397" s="400"/>
      <c r="AO397" s="381"/>
      <c r="AP397" s="381"/>
      <c r="AQ397" s="381"/>
      <c r="AR397" s="381"/>
      <c r="AS397" s="381"/>
      <c r="AT397" s="381"/>
      <c r="AU397" s="381">
        <f t="shared" si="23"/>
        <v>2182563834.8400002</v>
      </c>
      <c r="AV397" s="381">
        <f t="shared" si="24"/>
        <v>2182563834.8400002</v>
      </c>
      <c r="AW397" s="381">
        <f t="shared" si="25"/>
        <v>1658748488</v>
      </c>
      <c r="AX397" s="473" t="s">
        <v>795</v>
      </c>
    </row>
    <row r="398" spans="1:129" s="331" customFormat="1" ht="63.75" x14ac:dyDescent="0.25">
      <c r="A398" s="257">
        <v>318</v>
      </c>
      <c r="B398" s="376" t="s">
        <v>791</v>
      </c>
      <c r="C398" s="257">
        <v>1</v>
      </c>
      <c r="D398" s="376" t="s">
        <v>105</v>
      </c>
      <c r="E398" s="257">
        <v>1</v>
      </c>
      <c r="F398" s="376" t="s">
        <v>112</v>
      </c>
      <c r="G398" s="257">
        <v>19</v>
      </c>
      <c r="H398" s="376" t="s">
        <v>195</v>
      </c>
      <c r="I398" s="257">
        <v>1906</v>
      </c>
      <c r="J398" s="376" t="s">
        <v>924</v>
      </c>
      <c r="K398" s="257">
        <v>1906029</v>
      </c>
      <c r="L398" s="376" t="s">
        <v>934</v>
      </c>
      <c r="M398" s="280">
        <v>190602900</v>
      </c>
      <c r="N398" s="388" t="s">
        <v>935</v>
      </c>
      <c r="O398" s="280" t="s">
        <v>26</v>
      </c>
      <c r="P398" s="280">
        <v>40</v>
      </c>
      <c r="Q398" s="280">
        <v>23</v>
      </c>
      <c r="R398" s="380">
        <v>2020003630138</v>
      </c>
      <c r="S398" s="500" t="s">
        <v>936</v>
      </c>
      <c r="T398" s="381"/>
      <c r="U398" s="381"/>
      <c r="V398" s="381"/>
      <c r="W398" s="381">
        <f>600000000-98451319</f>
        <v>501548681</v>
      </c>
      <c r="X398" s="381">
        <v>501548681</v>
      </c>
      <c r="Y398" s="381">
        <v>501548681</v>
      </c>
      <c r="Z398" s="381"/>
      <c r="AA398" s="381"/>
      <c r="AB398" s="381"/>
      <c r="AC398" s="381"/>
      <c r="AD398" s="381"/>
      <c r="AE398" s="381"/>
      <c r="AF398" s="381"/>
      <c r="AG398" s="381"/>
      <c r="AH398" s="381"/>
      <c r="AI398" s="381"/>
      <c r="AJ398" s="381"/>
      <c r="AK398" s="381"/>
      <c r="AL398" s="400">
        <f>50000000-18180001</f>
        <v>31819999</v>
      </c>
      <c r="AM398" s="400">
        <v>31819999</v>
      </c>
      <c r="AN398" s="400">
        <v>31819999</v>
      </c>
      <c r="AO398" s="381"/>
      <c r="AP398" s="381"/>
      <c r="AQ398" s="381"/>
      <c r="AR398" s="381"/>
      <c r="AS398" s="381"/>
      <c r="AT398" s="381"/>
      <c r="AU398" s="381">
        <f t="shared" si="23"/>
        <v>533368680</v>
      </c>
      <c r="AV398" s="381">
        <f t="shared" si="24"/>
        <v>533368680</v>
      </c>
      <c r="AW398" s="381">
        <f t="shared" si="25"/>
        <v>533368680</v>
      </c>
      <c r="AX398" s="473" t="s">
        <v>795</v>
      </c>
    </row>
    <row r="399" spans="1:129" s="332" customFormat="1" ht="114.75" x14ac:dyDescent="0.25">
      <c r="A399" s="259">
        <v>318</v>
      </c>
      <c r="B399" s="325" t="s">
        <v>791</v>
      </c>
      <c r="C399" s="259"/>
      <c r="D399" s="325"/>
      <c r="E399" s="259">
        <v>1</v>
      </c>
      <c r="F399" s="325" t="s">
        <v>112</v>
      </c>
      <c r="G399" s="259">
        <v>19</v>
      </c>
      <c r="H399" s="385" t="s">
        <v>195</v>
      </c>
      <c r="I399" s="259">
        <v>1906</v>
      </c>
      <c r="J399" s="325" t="s">
        <v>924</v>
      </c>
      <c r="K399" s="259">
        <v>1906025</v>
      </c>
      <c r="L399" s="325" t="s">
        <v>932</v>
      </c>
      <c r="M399" s="259">
        <v>190602500</v>
      </c>
      <c r="N399" s="333" t="s">
        <v>933</v>
      </c>
      <c r="O399" s="272" t="s">
        <v>26</v>
      </c>
      <c r="P399" s="280">
        <v>14</v>
      </c>
      <c r="Q399" s="280">
        <v>0</v>
      </c>
      <c r="R399" s="281">
        <v>2024003630104</v>
      </c>
      <c r="S399" s="327" t="s">
        <v>928</v>
      </c>
      <c r="T399" s="328"/>
      <c r="U399" s="328"/>
      <c r="V399" s="328"/>
      <c r="W399" s="328"/>
      <c r="X399" s="328"/>
      <c r="Y399" s="328"/>
      <c r="Z399" s="404"/>
      <c r="AA399" s="404"/>
      <c r="AB399" s="404"/>
      <c r="AC399" s="328">
        <v>5931674500</v>
      </c>
      <c r="AD399" s="328"/>
      <c r="AE399" s="328"/>
      <c r="AF399" s="328"/>
      <c r="AG399" s="328"/>
      <c r="AH399" s="328"/>
      <c r="AI399" s="328"/>
      <c r="AJ399" s="328"/>
      <c r="AK399" s="328"/>
      <c r="AL399" s="343"/>
      <c r="AM399" s="343"/>
      <c r="AN399" s="343"/>
      <c r="AO399" s="343"/>
      <c r="AP399" s="343"/>
      <c r="AQ399" s="343"/>
      <c r="AR399" s="343"/>
      <c r="AS399" s="343"/>
      <c r="AT399" s="343"/>
      <c r="AU399" s="328">
        <f t="shared" si="23"/>
        <v>5931674500</v>
      </c>
      <c r="AV399" s="328">
        <f t="shared" si="24"/>
        <v>0</v>
      </c>
      <c r="AW399" s="328">
        <f t="shared" si="25"/>
        <v>0</v>
      </c>
      <c r="AX399" s="330" t="s">
        <v>795</v>
      </c>
      <c r="AY399" s="331"/>
      <c r="AZ399" s="331"/>
      <c r="BA399" s="331"/>
      <c r="BB399" s="331"/>
      <c r="BC399" s="331"/>
      <c r="BD399" s="331"/>
      <c r="BE399" s="331"/>
      <c r="BF399" s="331"/>
      <c r="BG399" s="331"/>
      <c r="BH399" s="331"/>
      <c r="BI399" s="331"/>
      <c r="BJ399" s="331"/>
      <c r="BK399" s="331"/>
      <c r="BL399" s="331"/>
      <c r="BM399" s="331"/>
      <c r="BN399" s="331"/>
      <c r="BO399" s="331"/>
      <c r="BP399" s="331"/>
      <c r="BQ399" s="331"/>
      <c r="BR399" s="331"/>
      <c r="BS399" s="331"/>
      <c r="BT399" s="331"/>
      <c r="BU399" s="331"/>
      <c r="BV399" s="331"/>
      <c r="BW399" s="331"/>
      <c r="BX399" s="331"/>
      <c r="BY399" s="331"/>
      <c r="BZ399" s="331"/>
      <c r="CA399" s="331"/>
      <c r="CB399" s="331"/>
      <c r="CC399" s="331"/>
      <c r="CD399" s="331"/>
      <c r="CE399" s="331"/>
      <c r="CF399" s="331"/>
      <c r="CG399" s="331"/>
      <c r="CH399" s="331"/>
      <c r="CI399" s="331"/>
      <c r="CJ399" s="331"/>
      <c r="CK399" s="331"/>
      <c r="CL399" s="331"/>
      <c r="CM399" s="331"/>
      <c r="CN399" s="331"/>
      <c r="CO399" s="331"/>
      <c r="CP399" s="331"/>
      <c r="CQ399" s="331"/>
      <c r="CR399" s="331"/>
      <c r="CS399" s="331"/>
      <c r="CT399" s="331"/>
      <c r="CU399" s="331"/>
      <c r="CV399" s="331"/>
      <c r="CW399" s="331"/>
      <c r="CX399" s="331"/>
      <c r="CY399" s="331"/>
      <c r="CZ399" s="331"/>
      <c r="DA399" s="331"/>
      <c r="DB399" s="331"/>
      <c r="DC399" s="331"/>
      <c r="DD399" s="331"/>
      <c r="DE399" s="331"/>
      <c r="DF399" s="331"/>
      <c r="DG399" s="331"/>
      <c r="DH399" s="331"/>
      <c r="DI399" s="331"/>
      <c r="DJ399" s="331"/>
      <c r="DK399" s="331"/>
      <c r="DL399" s="331"/>
      <c r="DM399" s="331"/>
      <c r="DN399" s="331"/>
      <c r="DO399" s="331"/>
      <c r="DP399" s="331"/>
      <c r="DQ399" s="331"/>
      <c r="DR399" s="331"/>
      <c r="DS399" s="331"/>
      <c r="DT399" s="331"/>
      <c r="DU399" s="331"/>
      <c r="DV399" s="331"/>
      <c r="DW399" s="331"/>
      <c r="DX399" s="331"/>
      <c r="DY399" s="331"/>
    </row>
    <row r="400" spans="1:129" s="332" customFormat="1" ht="63.75" x14ac:dyDescent="0.25">
      <c r="A400" s="259">
        <v>318</v>
      </c>
      <c r="B400" s="325" t="s">
        <v>791</v>
      </c>
      <c r="C400" s="259"/>
      <c r="D400" s="325"/>
      <c r="E400" s="259">
        <v>1</v>
      </c>
      <c r="F400" s="325" t="s">
        <v>112</v>
      </c>
      <c r="G400" s="259">
        <v>19</v>
      </c>
      <c r="H400" s="385" t="s">
        <v>195</v>
      </c>
      <c r="I400" s="259">
        <v>1906</v>
      </c>
      <c r="J400" s="325" t="s">
        <v>924</v>
      </c>
      <c r="K400" s="259">
        <v>1906029</v>
      </c>
      <c r="L400" s="325" t="s">
        <v>934</v>
      </c>
      <c r="M400" s="272">
        <v>190602900</v>
      </c>
      <c r="N400" s="333" t="s">
        <v>935</v>
      </c>
      <c r="O400" s="272" t="s">
        <v>26</v>
      </c>
      <c r="P400" s="280">
        <v>40</v>
      </c>
      <c r="Q400" s="280">
        <v>0</v>
      </c>
      <c r="R400" s="281">
        <v>2024003630104</v>
      </c>
      <c r="S400" s="327" t="s">
        <v>928</v>
      </c>
      <c r="T400" s="328"/>
      <c r="U400" s="328"/>
      <c r="V400" s="328"/>
      <c r="W400" s="328">
        <v>98451319</v>
      </c>
      <c r="X400" s="328">
        <v>94699999</v>
      </c>
      <c r="Y400" s="328">
        <v>66600000</v>
      </c>
      <c r="Z400" s="328"/>
      <c r="AA400" s="328"/>
      <c r="AB400" s="328"/>
      <c r="AC400" s="328"/>
      <c r="AD400" s="328"/>
      <c r="AE400" s="328"/>
      <c r="AF400" s="328"/>
      <c r="AG400" s="328"/>
      <c r="AH400" s="328"/>
      <c r="AI400" s="328"/>
      <c r="AJ400" s="328"/>
      <c r="AK400" s="328"/>
      <c r="AL400" s="404">
        <f>12800000+50000000+100000000</f>
        <v>162800000</v>
      </c>
      <c r="AM400" s="404">
        <v>8899999</v>
      </c>
      <c r="AN400" s="404">
        <v>2300000</v>
      </c>
      <c r="AO400" s="328"/>
      <c r="AP400" s="328"/>
      <c r="AQ400" s="328"/>
      <c r="AR400" s="328"/>
      <c r="AS400" s="328"/>
      <c r="AT400" s="328"/>
      <c r="AU400" s="328">
        <f t="shared" si="23"/>
        <v>261251319</v>
      </c>
      <c r="AV400" s="328">
        <f t="shared" si="24"/>
        <v>103599998</v>
      </c>
      <c r="AW400" s="328">
        <f t="shared" si="25"/>
        <v>68900000</v>
      </c>
      <c r="AX400" s="330" t="s">
        <v>795</v>
      </c>
      <c r="AY400" s="331"/>
      <c r="AZ400" s="331"/>
      <c r="BA400" s="331"/>
      <c r="BB400" s="331"/>
      <c r="BC400" s="331"/>
      <c r="BD400" s="331"/>
      <c r="BE400" s="331"/>
      <c r="BF400" s="331"/>
      <c r="BG400" s="331"/>
      <c r="BH400" s="331"/>
      <c r="BI400" s="331"/>
      <c r="BJ400" s="331"/>
      <c r="BK400" s="331"/>
      <c r="BL400" s="331"/>
      <c r="BM400" s="331"/>
      <c r="BN400" s="331"/>
      <c r="BO400" s="331"/>
      <c r="BP400" s="331"/>
      <c r="BQ400" s="331"/>
      <c r="BR400" s="331"/>
      <c r="BS400" s="331"/>
      <c r="BT400" s="331"/>
      <c r="BU400" s="331"/>
      <c r="BV400" s="331"/>
      <c r="BW400" s="331"/>
      <c r="BX400" s="331"/>
      <c r="BY400" s="331"/>
      <c r="BZ400" s="331"/>
      <c r="CA400" s="331"/>
      <c r="CB400" s="331"/>
      <c r="CC400" s="331"/>
      <c r="CD400" s="331"/>
      <c r="CE400" s="331"/>
      <c r="CF400" s="331"/>
      <c r="CG400" s="331"/>
      <c r="CH400" s="331"/>
      <c r="CI400" s="331"/>
      <c r="CJ400" s="331"/>
      <c r="CK400" s="331"/>
      <c r="CL400" s="331"/>
      <c r="CM400" s="331"/>
      <c r="CN400" s="331"/>
      <c r="CO400" s="331"/>
      <c r="CP400" s="331"/>
      <c r="CQ400" s="331"/>
      <c r="CR400" s="331"/>
      <c r="CS400" s="331"/>
      <c r="CT400" s="331"/>
      <c r="CU400" s="331"/>
      <c r="CV400" s="331"/>
      <c r="CW400" s="331"/>
      <c r="CX400" s="331"/>
      <c r="CY400" s="331"/>
      <c r="CZ400" s="331"/>
      <c r="DA400" s="331"/>
      <c r="DB400" s="331"/>
      <c r="DC400" s="331"/>
      <c r="DD400" s="331"/>
      <c r="DE400" s="331"/>
      <c r="DF400" s="331"/>
      <c r="DG400" s="331"/>
      <c r="DH400" s="331"/>
      <c r="DI400" s="331"/>
      <c r="DJ400" s="331"/>
      <c r="DK400" s="331"/>
      <c r="DL400" s="331"/>
      <c r="DM400" s="331"/>
      <c r="DN400" s="331"/>
      <c r="DO400" s="331"/>
      <c r="DP400" s="331"/>
      <c r="DQ400" s="331"/>
      <c r="DR400" s="331"/>
      <c r="DS400" s="331"/>
      <c r="DT400" s="331"/>
      <c r="DU400" s="331"/>
      <c r="DV400" s="331"/>
      <c r="DW400" s="331"/>
      <c r="DX400" s="331"/>
      <c r="DY400" s="331"/>
    </row>
    <row r="401" spans="1:129" s="332" customFormat="1" ht="38.25" x14ac:dyDescent="0.25">
      <c r="A401" s="259">
        <v>318</v>
      </c>
      <c r="B401" s="325" t="s">
        <v>791</v>
      </c>
      <c r="C401" s="259"/>
      <c r="D401" s="325"/>
      <c r="E401" s="259">
        <v>1</v>
      </c>
      <c r="F401" s="325" t="s">
        <v>112</v>
      </c>
      <c r="G401" s="259">
        <v>19</v>
      </c>
      <c r="H401" s="385" t="s">
        <v>195</v>
      </c>
      <c r="I401" s="259">
        <v>1906</v>
      </c>
      <c r="J401" s="325" t="s">
        <v>924</v>
      </c>
      <c r="K401" s="259">
        <v>1906004</v>
      </c>
      <c r="L401" s="325" t="s">
        <v>937</v>
      </c>
      <c r="M401" s="272">
        <v>190600400</v>
      </c>
      <c r="N401" s="333" t="s">
        <v>938</v>
      </c>
      <c r="O401" s="272" t="s">
        <v>67</v>
      </c>
      <c r="P401" s="280">
        <v>730</v>
      </c>
      <c r="Q401" s="280">
        <v>0</v>
      </c>
      <c r="R401" s="281">
        <v>2024003630104</v>
      </c>
      <c r="S401" s="327" t="s">
        <v>928</v>
      </c>
      <c r="T401" s="328"/>
      <c r="U401" s="328"/>
      <c r="V401" s="328"/>
      <c r="W401" s="328"/>
      <c r="X401" s="328"/>
      <c r="Y401" s="328"/>
      <c r="Z401" s="328"/>
      <c r="AA401" s="328"/>
      <c r="AB401" s="328"/>
      <c r="AC401" s="328">
        <v>638320068.995</v>
      </c>
      <c r="AD401" s="328">
        <v>42324522</v>
      </c>
      <c r="AE401" s="328">
        <v>42324522</v>
      </c>
      <c r="AF401" s="328"/>
      <c r="AG401" s="328"/>
      <c r="AH401" s="328"/>
      <c r="AI401" s="328"/>
      <c r="AJ401" s="328"/>
      <c r="AK401" s="328"/>
      <c r="AL401" s="404"/>
      <c r="AM401" s="404"/>
      <c r="AN401" s="404"/>
      <c r="AO401" s="328"/>
      <c r="AP401" s="328"/>
      <c r="AQ401" s="328"/>
      <c r="AR401" s="328"/>
      <c r="AS401" s="328"/>
      <c r="AT401" s="328"/>
      <c r="AU401" s="328">
        <f t="shared" si="23"/>
        <v>638320068.995</v>
      </c>
      <c r="AV401" s="328">
        <f t="shared" si="24"/>
        <v>42324522</v>
      </c>
      <c r="AW401" s="328">
        <f t="shared" si="25"/>
        <v>42324522</v>
      </c>
      <c r="AX401" s="330" t="s">
        <v>795</v>
      </c>
      <c r="AY401" s="331"/>
      <c r="AZ401" s="331"/>
      <c r="BA401" s="331"/>
      <c r="BB401" s="331"/>
      <c r="BC401" s="331"/>
      <c r="BD401" s="331"/>
      <c r="BE401" s="331"/>
      <c r="BF401" s="331"/>
      <c r="BG401" s="331"/>
      <c r="BH401" s="331"/>
      <c r="BI401" s="331"/>
      <c r="BJ401" s="331"/>
      <c r="BK401" s="331"/>
      <c r="BL401" s="331"/>
      <c r="BM401" s="331"/>
      <c r="BN401" s="331"/>
      <c r="BO401" s="331"/>
      <c r="BP401" s="331"/>
      <c r="BQ401" s="331"/>
      <c r="BR401" s="331"/>
      <c r="BS401" s="331"/>
      <c r="BT401" s="331"/>
      <c r="BU401" s="331"/>
      <c r="BV401" s="331"/>
      <c r="BW401" s="331"/>
      <c r="BX401" s="331"/>
      <c r="BY401" s="331"/>
      <c r="BZ401" s="331"/>
      <c r="CA401" s="331"/>
      <c r="CB401" s="331"/>
      <c r="CC401" s="331"/>
      <c r="CD401" s="331"/>
      <c r="CE401" s="331"/>
      <c r="CF401" s="331"/>
      <c r="CG401" s="331"/>
      <c r="CH401" s="331"/>
      <c r="CI401" s="331"/>
      <c r="CJ401" s="331"/>
      <c r="CK401" s="331"/>
      <c r="CL401" s="331"/>
      <c r="CM401" s="331"/>
      <c r="CN401" s="331"/>
      <c r="CO401" s="331"/>
      <c r="CP401" s="331"/>
      <c r="CQ401" s="331"/>
      <c r="CR401" s="331"/>
      <c r="CS401" s="331"/>
      <c r="CT401" s="331"/>
      <c r="CU401" s="331"/>
      <c r="CV401" s="331"/>
      <c r="CW401" s="331"/>
      <c r="CX401" s="331"/>
      <c r="CY401" s="331"/>
      <c r="CZ401" s="331"/>
      <c r="DA401" s="331"/>
      <c r="DB401" s="331"/>
      <c r="DC401" s="331"/>
      <c r="DD401" s="331"/>
      <c r="DE401" s="331"/>
      <c r="DF401" s="331"/>
      <c r="DG401" s="331"/>
      <c r="DH401" s="331"/>
      <c r="DI401" s="331"/>
      <c r="DJ401" s="331"/>
      <c r="DK401" s="331"/>
      <c r="DL401" s="331"/>
      <c r="DM401" s="331"/>
      <c r="DN401" s="331"/>
      <c r="DO401" s="331"/>
      <c r="DP401" s="331"/>
      <c r="DQ401" s="331"/>
      <c r="DR401" s="331"/>
      <c r="DS401" s="331"/>
      <c r="DT401" s="331"/>
      <c r="DU401" s="331"/>
      <c r="DV401" s="331"/>
      <c r="DW401" s="331"/>
      <c r="DX401" s="331"/>
      <c r="DY401" s="331"/>
    </row>
    <row r="402" spans="1:129" s="332" customFormat="1" ht="38.25" x14ac:dyDescent="0.25">
      <c r="A402" s="259">
        <v>318</v>
      </c>
      <c r="B402" s="325" t="s">
        <v>791</v>
      </c>
      <c r="C402" s="259"/>
      <c r="D402" s="325"/>
      <c r="E402" s="259">
        <v>1</v>
      </c>
      <c r="F402" s="325" t="s">
        <v>112</v>
      </c>
      <c r="G402" s="259">
        <v>19</v>
      </c>
      <c r="H402" s="385" t="s">
        <v>195</v>
      </c>
      <c r="I402" s="259">
        <v>1906</v>
      </c>
      <c r="J402" s="325" t="s">
        <v>924</v>
      </c>
      <c r="K402" s="259">
        <v>1906004</v>
      </c>
      <c r="L402" s="325" t="s">
        <v>937</v>
      </c>
      <c r="M402" s="272">
        <v>190600401</v>
      </c>
      <c r="N402" s="333" t="s">
        <v>939</v>
      </c>
      <c r="O402" s="272" t="s">
        <v>67</v>
      </c>
      <c r="P402" s="280">
        <v>730</v>
      </c>
      <c r="Q402" s="280">
        <v>0</v>
      </c>
      <c r="R402" s="281">
        <v>2024003630104</v>
      </c>
      <c r="S402" s="327" t="s">
        <v>928</v>
      </c>
      <c r="T402" s="328"/>
      <c r="U402" s="328"/>
      <c r="V402" s="328"/>
      <c r="W402" s="328"/>
      <c r="X402" s="328"/>
      <c r="Y402" s="328"/>
      <c r="Z402" s="328"/>
      <c r="AA402" s="328"/>
      <c r="AB402" s="328"/>
      <c r="AC402" s="328">
        <v>638320068.995</v>
      </c>
      <c r="AD402" s="328"/>
      <c r="AE402" s="328"/>
      <c r="AF402" s="328"/>
      <c r="AG402" s="328"/>
      <c r="AH402" s="328"/>
      <c r="AI402" s="328"/>
      <c r="AJ402" s="328"/>
      <c r="AK402" s="328"/>
      <c r="AL402" s="404"/>
      <c r="AM402" s="404"/>
      <c r="AN402" s="404"/>
      <c r="AO402" s="328"/>
      <c r="AP402" s="328"/>
      <c r="AQ402" s="328"/>
      <c r="AR402" s="328">
        <v>4672766596</v>
      </c>
      <c r="AS402" s="328"/>
      <c r="AT402" s="328"/>
      <c r="AU402" s="328">
        <f t="shared" si="23"/>
        <v>5311086664.9949999</v>
      </c>
      <c r="AV402" s="328">
        <f t="shared" si="24"/>
        <v>0</v>
      </c>
      <c r="AW402" s="328">
        <f t="shared" si="25"/>
        <v>0</v>
      </c>
      <c r="AX402" s="330" t="s">
        <v>795</v>
      </c>
      <c r="AY402" s="331"/>
      <c r="AZ402" s="331"/>
      <c r="BA402" s="331"/>
      <c r="BB402" s="331"/>
      <c r="BC402" s="331"/>
      <c r="BD402" s="331"/>
      <c r="BE402" s="331"/>
      <c r="BF402" s="331"/>
      <c r="BG402" s="331"/>
      <c r="BH402" s="331"/>
      <c r="BI402" s="331"/>
      <c r="BJ402" s="331"/>
      <c r="BK402" s="331"/>
      <c r="BL402" s="331"/>
      <c r="BM402" s="331"/>
      <c r="BN402" s="331"/>
      <c r="BO402" s="331"/>
      <c r="BP402" s="331"/>
      <c r="BQ402" s="331"/>
      <c r="BR402" s="331"/>
      <c r="BS402" s="331"/>
      <c r="BT402" s="331"/>
      <c r="BU402" s="331"/>
      <c r="BV402" s="331"/>
      <c r="BW402" s="331"/>
      <c r="BX402" s="331"/>
      <c r="BY402" s="331"/>
      <c r="BZ402" s="331"/>
      <c r="CA402" s="331"/>
      <c r="CB402" s="331"/>
      <c r="CC402" s="331"/>
      <c r="CD402" s="331"/>
      <c r="CE402" s="331"/>
      <c r="CF402" s="331"/>
      <c r="CG402" s="331"/>
      <c r="CH402" s="331"/>
      <c r="CI402" s="331"/>
      <c r="CJ402" s="331"/>
      <c r="CK402" s="331"/>
      <c r="CL402" s="331"/>
      <c r="CM402" s="331"/>
      <c r="CN402" s="331"/>
      <c r="CO402" s="331"/>
      <c r="CP402" s="331"/>
      <c r="CQ402" s="331"/>
      <c r="CR402" s="331"/>
      <c r="CS402" s="331"/>
      <c r="CT402" s="331"/>
      <c r="CU402" s="331"/>
      <c r="CV402" s="331"/>
      <c r="CW402" s="331"/>
      <c r="CX402" s="331"/>
      <c r="CY402" s="331"/>
      <c r="CZ402" s="331"/>
      <c r="DA402" s="331"/>
      <c r="DB402" s="331"/>
      <c r="DC402" s="331"/>
      <c r="DD402" s="331"/>
      <c r="DE402" s="331"/>
      <c r="DF402" s="331"/>
      <c r="DG402" s="331"/>
      <c r="DH402" s="331"/>
      <c r="DI402" s="331"/>
      <c r="DJ402" s="331"/>
      <c r="DK402" s="331"/>
      <c r="DL402" s="331"/>
      <c r="DM402" s="331"/>
      <c r="DN402" s="331"/>
      <c r="DO402" s="331"/>
      <c r="DP402" s="331"/>
      <c r="DQ402" s="331"/>
      <c r="DR402" s="331"/>
      <c r="DS402" s="331"/>
      <c r="DT402" s="331"/>
      <c r="DU402" s="331"/>
      <c r="DV402" s="331"/>
      <c r="DW402" s="331"/>
      <c r="DX402" s="331"/>
      <c r="DY402" s="331"/>
    </row>
    <row r="403" spans="1:129" s="332" customFormat="1" ht="51" x14ac:dyDescent="0.25">
      <c r="A403" s="259">
        <v>318</v>
      </c>
      <c r="B403" s="325" t="s">
        <v>791</v>
      </c>
      <c r="C403" s="259"/>
      <c r="D403" s="325"/>
      <c r="E403" s="259">
        <v>1</v>
      </c>
      <c r="F403" s="325" t="s">
        <v>112</v>
      </c>
      <c r="G403" s="259">
        <v>19</v>
      </c>
      <c r="H403" s="385" t="s">
        <v>195</v>
      </c>
      <c r="I403" s="259">
        <v>1906</v>
      </c>
      <c r="J403" s="325" t="s">
        <v>924</v>
      </c>
      <c r="K403" s="259">
        <v>1906035</v>
      </c>
      <c r="L403" s="325" t="s">
        <v>940</v>
      </c>
      <c r="M403" s="272">
        <v>190603500</v>
      </c>
      <c r="N403" s="333" t="s">
        <v>941</v>
      </c>
      <c r="O403" s="272" t="s">
        <v>26</v>
      </c>
      <c r="P403" s="280">
        <v>11</v>
      </c>
      <c r="Q403" s="280">
        <v>0</v>
      </c>
      <c r="R403" s="281">
        <v>2024003630104</v>
      </c>
      <c r="S403" s="327" t="s">
        <v>928</v>
      </c>
      <c r="T403" s="328"/>
      <c r="U403" s="328"/>
      <c r="V403" s="328"/>
      <c r="W403" s="328"/>
      <c r="X403" s="328"/>
      <c r="Y403" s="328"/>
      <c r="Z403" s="328">
        <v>286278256</v>
      </c>
      <c r="AA403" s="328">
        <v>285278256</v>
      </c>
      <c r="AB403" s="328"/>
      <c r="AC403" s="328"/>
      <c r="AD403" s="328"/>
      <c r="AE403" s="328"/>
      <c r="AF403" s="328"/>
      <c r="AG403" s="328"/>
      <c r="AH403" s="328"/>
      <c r="AI403" s="328"/>
      <c r="AJ403" s="328"/>
      <c r="AK403" s="328"/>
      <c r="AL403" s="404"/>
      <c r="AM403" s="404"/>
      <c r="AN403" s="404"/>
      <c r="AO403" s="328"/>
      <c r="AP403" s="328"/>
      <c r="AQ403" s="328"/>
      <c r="AR403" s="328"/>
      <c r="AS403" s="328"/>
      <c r="AT403" s="328"/>
      <c r="AU403" s="328">
        <f t="shared" si="23"/>
        <v>286278256</v>
      </c>
      <c r="AV403" s="328">
        <f t="shared" si="24"/>
        <v>285278256</v>
      </c>
      <c r="AW403" s="328">
        <f t="shared" si="25"/>
        <v>0</v>
      </c>
      <c r="AX403" s="330" t="s">
        <v>795</v>
      </c>
      <c r="AY403" s="331"/>
      <c r="AZ403" s="331"/>
      <c r="BA403" s="331"/>
      <c r="BB403" s="331"/>
      <c r="BC403" s="331"/>
      <c r="BD403" s="331"/>
      <c r="BE403" s="331"/>
      <c r="BF403" s="331"/>
      <c r="BG403" s="331"/>
      <c r="BH403" s="331"/>
      <c r="BI403" s="331"/>
      <c r="BJ403" s="331"/>
      <c r="BK403" s="331"/>
      <c r="BL403" s="331"/>
      <c r="BM403" s="331"/>
      <c r="BN403" s="331"/>
      <c r="BO403" s="331"/>
      <c r="BP403" s="331"/>
      <c r="BQ403" s="331"/>
      <c r="BR403" s="331"/>
      <c r="BS403" s="331"/>
      <c r="BT403" s="331"/>
      <c r="BU403" s="331"/>
      <c r="BV403" s="331"/>
      <c r="BW403" s="331"/>
      <c r="BX403" s="331"/>
      <c r="BY403" s="331"/>
      <c r="BZ403" s="331"/>
      <c r="CA403" s="331"/>
      <c r="CB403" s="331"/>
      <c r="CC403" s="331"/>
      <c r="CD403" s="331"/>
      <c r="CE403" s="331"/>
      <c r="CF403" s="331"/>
      <c r="CG403" s="331"/>
      <c r="CH403" s="331"/>
      <c r="CI403" s="331"/>
      <c r="CJ403" s="331"/>
      <c r="CK403" s="331"/>
      <c r="CL403" s="331"/>
      <c r="CM403" s="331"/>
      <c r="CN403" s="331"/>
      <c r="CO403" s="331"/>
      <c r="CP403" s="331"/>
      <c r="CQ403" s="331"/>
      <c r="CR403" s="331"/>
      <c r="CS403" s="331"/>
      <c r="CT403" s="331"/>
      <c r="CU403" s="331"/>
      <c r="CV403" s="331"/>
      <c r="CW403" s="331"/>
      <c r="CX403" s="331"/>
      <c r="CY403" s="331"/>
      <c r="CZ403" s="331"/>
      <c r="DA403" s="331"/>
      <c r="DB403" s="331"/>
      <c r="DC403" s="331"/>
      <c r="DD403" s="331"/>
      <c r="DE403" s="331"/>
      <c r="DF403" s="331"/>
      <c r="DG403" s="331"/>
      <c r="DH403" s="331"/>
      <c r="DI403" s="331"/>
      <c r="DJ403" s="331"/>
      <c r="DK403" s="331"/>
      <c r="DL403" s="331"/>
      <c r="DM403" s="331"/>
      <c r="DN403" s="331"/>
      <c r="DO403" s="331"/>
      <c r="DP403" s="331"/>
      <c r="DQ403" s="331"/>
      <c r="DR403" s="331"/>
      <c r="DS403" s="331"/>
      <c r="DT403" s="331"/>
      <c r="DU403" s="331"/>
      <c r="DV403" s="331"/>
      <c r="DW403" s="331"/>
      <c r="DX403" s="331"/>
      <c r="DY403" s="331"/>
    </row>
    <row r="404" spans="1:129" s="332" customFormat="1" ht="38.25" x14ac:dyDescent="0.25">
      <c r="A404" s="259">
        <v>318</v>
      </c>
      <c r="B404" s="325" t="s">
        <v>791</v>
      </c>
      <c r="C404" s="259"/>
      <c r="D404" s="325"/>
      <c r="E404" s="259">
        <v>1</v>
      </c>
      <c r="F404" s="325" t="s">
        <v>112</v>
      </c>
      <c r="G404" s="259">
        <v>19</v>
      </c>
      <c r="H404" s="385" t="s">
        <v>195</v>
      </c>
      <c r="I404" s="259">
        <v>1906</v>
      </c>
      <c r="J404" s="325" t="s">
        <v>924</v>
      </c>
      <c r="K404" s="259">
        <v>1906037</v>
      </c>
      <c r="L404" s="325" t="s">
        <v>173</v>
      </c>
      <c r="M404" s="272">
        <v>190603700</v>
      </c>
      <c r="N404" s="333" t="s">
        <v>324</v>
      </c>
      <c r="O404" s="272" t="s">
        <v>67</v>
      </c>
      <c r="P404" s="299">
        <v>1</v>
      </c>
      <c r="Q404" s="299">
        <v>0</v>
      </c>
      <c r="R404" s="281">
        <v>2024003630104</v>
      </c>
      <c r="S404" s="327" t="s">
        <v>928</v>
      </c>
      <c r="T404" s="328"/>
      <c r="U404" s="328"/>
      <c r="V404" s="328"/>
      <c r="W404" s="328"/>
      <c r="X404" s="328"/>
      <c r="Y404" s="328"/>
      <c r="Z404" s="328"/>
      <c r="AA404" s="328"/>
      <c r="AB404" s="328"/>
      <c r="AC404" s="328"/>
      <c r="AD404" s="328"/>
      <c r="AE404" s="328"/>
      <c r="AF404" s="328"/>
      <c r="AG404" s="328"/>
      <c r="AH404" s="328"/>
      <c r="AI404" s="328"/>
      <c r="AJ404" s="328"/>
      <c r="AK404" s="328"/>
      <c r="AL404" s="404">
        <f>133166500-50000000</f>
        <v>83166500</v>
      </c>
      <c r="AM404" s="404">
        <v>50533333</v>
      </c>
      <c r="AN404" s="404">
        <v>35000000</v>
      </c>
      <c r="AO404" s="328"/>
      <c r="AP404" s="328"/>
      <c r="AQ404" s="328"/>
      <c r="AR404" s="328"/>
      <c r="AS404" s="328"/>
      <c r="AT404" s="328"/>
      <c r="AU404" s="328">
        <f t="shared" si="23"/>
        <v>83166500</v>
      </c>
      <c r="AV404" s="328">
        <f t="shared" si="24"/>
        <v>50533333</v>
      </c>
      <c r="AW404" s="328">
        <f t="shared" si="25"/>
        <v>35000000</v>
      </c>
      <c r="AX404" s="330" t="s">
        <v>795</v>
      </c>
      <c r="AY404" s="331"/>
      <c r="AZ404" s="331"/>
      <c r="BA404" s="331"/>
      <c r="BB404" s="331"/>
      <c r="BC404" s="331"/>
      <c r="BD404" s="331"/>
      <c r="BE404" s="331"/>
      <c r="BF404" s="331"/>
      <c r="BG404" s="331"/>
      <c r="BH404" s="331"/>
      <c r="BI404" s="331"/>
      <c r="BJ404" s="331"/>
      <c r="BK404" s="331"/>
      <c r="BL404" s="331"/>
      <c r="BM404" s="331"/>
      <c r="BN404" s="331"/>
      <c r="BO404" s="331"/>
      <c r="BP404" s="331"/>
      <c r="BQ404" s="331"/>
      <c r="BR404" s="331"/>
      <c r="BS404" s="331"/>
      <c r="BT404" s="331"/>
      <c r="BU404" s="331"/>
      <c r="BV404" s="331"/>
      <c r="BW404" s="331"/>
      <c r="BX404" s="331"/>
      <c r="BY404" s="331"/>
      <c r="BZ404" s="331"/>
      <c r="CA404" s="331"/>
      <c r="CB404" s="331"/>
      <c r="CC404" s="331"/>
      <c r="CD404" s="331"/>
      <c r="CE404" s="331"/>
      <c r="CF404" s="331"/>
      <c r="CG404" s="331"/>
      <c r="CH404" s="331"/>
      <c r="CI404" s="331"/>
      <c r="CJ404" s="331"/>
      <c r="CK404" s="331"/>
      <c r="CL404" s="331"/>
      <c r="CM404" s="331"/>
      <c r="CN404" s="331"/>
      <c r="CO404" s="331"/>
      <c r="CP404" s="331"/>
      <c r="CQ404" s="331"/>
      <c r="CR404" s="331"/>
      <c r="CS404" s="331"/>
      <c r="CT404" s="331"/>
      <c r="CU404" s="331"/>
      <c r="CV404" s="331"/>
      <c r="CW404" s="331"/>
      <c r="CX404" s="331"/>
      <c r="CY404" s="331"/>
      <c r="CZ404" s="331"/>
      <c r="DA404" s="331"/>
      <c r="DB404" s="331"/>
      <c r="DC404" s="331"/>
      <c r="DD404" s="331"/>
      <c r="DE404" s="331"/>
      <c r="DF404" s="331"/>
      <c r="DG404" s="331"/>
      <c r="DH404" s="331"/>
      <c r="DI404" s="331"/>
      <c r="DJ404" s="331"/>
      <c r="DK404" s="331"/>
      <c r="DL404" s="331"/>
      <c r="DM404" s="331"/>
      <c r="DN404" s="331"/>
      <c r="DO404" s="331"/>
      <c r="DP404" s="331"/>
      <c r="DQ404" s="331"/>
      <c r="DR404" s="331"/>
      <c r="DS404" s="331"/>
      <c r="DT404" s="331"/>
      <c r="DU404" s="331"/>
      <c r="DV404" s="331"/>
      <c r="DW404" s="331"/>
      <c r="DX404" s="331"/>
      <c r="DY404" s="331"/>
    </row>
    <row r="405" spans="1:129" s="332" customFormat="1" ht="38.25" x14ac:dyDescent="0.25">
      <c r="A405" s="259">
        <v>318</v>
      </c>
      <c r="B405" s="325" t="s">
        <v>791</v>
      </c>
      <c r="C405" s="259"/>
      <c r="D405" s="325"/>
      <c r="E405" s="259">
        <v>1</v>
      </c>
      <c r="F405" s="325" t="s">
        <v>112</v>
      </c>
      <c r="G405" s="259">
        <v>19</v>
      </c>
      <c r="H405" s="385" t="s">
        <v>195</v>
      </c>
      <c r="I405" s="259">
        <v>1906</v>
      </c>
      <c r="J405" s="325" t="s">
        <v>924</v>
      </c>
      <c r="K405" s="259">
        <v>1906041</v>
      </c>
      <c r="L405" s="325" t="s">
        <v>69</v>
      </c>
      <c r="M405" s="272">
        <v>190604100</v>
      </c>
      <c r="N405" s="333" t="s">
        <v>828</v>
      </c>
      <c r="O405" s="272" t="s">
        <v>26</v>
      </c>
      <c r="P405" s="299">
        <v>170</v>
      </c>
      <c r="Q405" s="299">
        <v>0</v>
      </c>
      <c r="R405" s="281">
        <v>2024003630104</v>
      </c>
      <c r="S405" s="327" t="s">
        <v>928</v>
      </c>
      <c r="T405" s="328"/>
      <c r="U405" s="328"/>
      <c r="V405" s="328"/>
      <c r="W405" s="328"/>
      <c r="X405" s="328"/>
      <c r="Y405" s="328"/>
      <c r="Z405" s="328"/>
      <c r="AA405" s="328"/>
      <c r="AB405" s="328"/>
      <c r="AC405" s="328"/>
      <c r="AD405" s="328"/>
      <c r="AE405" s="328"/>
      <c r="AF405" s="328"/>
      <c r="AG405" s="328"/>
      <c r="AH405" s="328"/>
      <c r="AI405" s="328"/>
      <c r="AJ405" s="328"/>
      <c r="AK405" s="328"/>
      <c r="AL405" s="343"/>
      <c r="AM405" s="343"/>
      <c r="AN405" s="343"/>
      <c r="AO405" s="328"/>
      <c r="AP405" s="328"/>
      <c r="AQ405" s="328"/>
      <c r="AR405" s="328"/>
      <c r="AS405" s="328"/>
      <c r="AT405" s="328"/>
      <c r="AU405" s="328">
        <f t="shared" si="23"/>
        <v>0</v>
      </c>
      <c r="AV405" s="328">
        <f t="shared" si="24"/>
        <v>0</v>
      </c>
      <c r="AW405" s="328">
        <f t="shared" si="25"/>
        <v>0</v>
      </c>
      <c r="AX405" s="330" t="s">
        <v>795</v>
      </c>
      <c r="AY405" s="331"/>
      <c r="AZ405" s="331"/>
      <c r="BA405" s="331"/>
      <c r="BB405" s="331"/>
      <c r="BC405" s="331"/>
      <c r="BD405" s="331"/>
      <c r="BE405" s="331"/>
      <c r="BF405" s="331"/>
      <c r="BG405" s="331"/>
      <c r="BH405" s="331"/>
      <c r="BI405" s="331"/>
      <c r="BJ405" s="331"/>
      <c r="BK405" s="331"/>
      <c r="BL405" s="331"/>
      <c r="BM405" s="331"/>
      <c r="BN405" s="331"/>
      <c r="BO405" s="331"/>
      <c r="BP405" s="331"/>
      <c r="BQ405" s="331"/>
      <c r="BR405" s="331"/>
      <c r="BS405" s="331"/>
      <c r="BT405" s="331"/>
      <c r="BU405" s="331"/>
      <c r="BV405" s="331"/>
      <c r="BW405" s="331"/>
      <c r="BX405" s="331"/>
      <c r="BY405" s="331"/>
      <c r="BZ405" s="331"/>
      <c r="CA405" s="331"/>
      <c r="CB405" s="331"/>
      <c r="CC405" s="331"/>
      <c r="CD405" s="331"/>
      <c r="CE405" s="331"/>
      <c r="CF405" s="331"/>
      <c r="CG405" s="331"/>
      <c r="CH405" s="331"/>
      <c r="CI405" s="331"/>
      <c r="CJ405" s="331"/>
      <c r="CK405" s="331"/>
      <c r="CL405" s="331"/>
      <c r="CM405" s="331"/>
      <c r="CN405" s="331"/>
      <c r="CO405" s="331"/>
      <c r="CP405" s="331"/>
      <c r="CQ405" s="331"/>
      <c r="CR405" s="331"/>
      <c r="CS405" s="331"/>
      <c r="CT405" s="331"/>
      <c r="CU405" s="331"/>
      <c r="CV405" s="331"/>
      <c r="CW405" s="331"/>
      <c r="CX405" s="331"/>
      <c r="CY405" s="331"/>
      <c r="CZ405" s="331"/>
      <c r="DA405" s="331"/>
      <c r="DB405" s="331"/>
      <c r="DC405" s="331"/>
      <c r="DD405" s="331"/>
      <c r="DE405" s="331"/>
      <c r="DF405" s="331"/>
      <c r="DG405" s="331"/>
      <c r="DH405" s="331"/>
      <c r="DI405" s="331"/>
      <c r="DJ405" s="331"/>
      <c r="DK405" s="331"/>
      <c r="DL405" s="331"/>
      <c r="DM405" s="331"/>
      <c r="DN405" s="331"/>
      <c r="DO405" s="331"/>
      <c r="DP405" s="331"/>
      <c r="DQ405" s="331"/>
      <c r="DR405" s="331"/>
      <c r="DS405" s="331"/>
      <c r="DT405" s="331"/>
      <c r="DU405" s="331"/>
      <c r="DV405" s="331"/>
      <c r="DW405" s="331"/>
      <c r="DX405" s="331"/>
      <c r="DY405" s="331"/>
    </row>
    <row r="406" spans="1:129" s="332" customFormat="1" ht="51" x14ac:dyDescent="0.25">
      <c r="A406" s="259">
        <v>318</v>
      </c>
      <c r="B406" s="325" t="s">
        <v>791</v>
      </c>
      <c r="C406" s="259"/>
      <c r="D406" s="325"/>
      <c r="E406" s="259">
        <v>1</v>
      </c>
      <c r="F406" s="325" t="s">
        <v>112</v>
      </c>
      <c r="G406" s="259">
        <v>19</v>
      </c>
      <c r="H406" s="385" t="s">
        <v>195</v>
      </c>
      <c r="I406" s="259">
        <v>1906</v>
      </c>
      <c r="J406" s="325" t="s">
        <v>924</v>
      </c>
      <c r="K406" s="259">
        <v>1906044</v>
      </c>
      <c r="L406" s="325" t="s">
        <v>942</v>
      </c>
      <c r="M406" s="272">
        <v>190604400</v>
      </c>
      <c r="N406" s="333" t="s">
        <v>943</v>
      </c>
      <c r="O406" s="272" t="s">
        <v>26</v>
      </c>
      <c r="P406" s="312">
        <v>274205</v>
      </c>
      <c r="Q406" s="312">
        <v>0</v>
      </c>
      <c r="R406" s="281">
        <v>2024003630104</v>
      </c>
      <c r="S406" s="327" t="s">
        <v>928</v>
      </c>
      <c r="T406" s="328"/>
      <c r="U406" s="328"/>
      <c r="V406" s="328"/>
      <c r="W406" s="328"/>
      <c r="X406" s="328"/>
      <c r="Y406" s="328"/>
      <c r="Z406" s="328"/>
      <c r="AA406" s="328"/>
      <c r="AB406" s="328"/>
      <c r="AC406" s="328"/>
      <c r="AD406" s="328"/>
      <c r="AE406" s="328"/>
      <c r="AF406" s="328"/>
      <c r="AG406" s="328"/>
      <c r="AH406" s="328"/>
      <c r="AI406" s="328"/>
      <c r="AJ406" s="328"/>
      <c r="AK406" s="328"/>
      <c r="AL406" s="404">
        <v>10800000</v>
      </c>
      <c r="AM406" s="404">
        <v>4666667</v>
      </c>
      <c r="AN406" s="404">
        <v>400000</v>
      </c>
      <c r="AO406" s="328"/>
      <c r="AP406" s="328"/>
      <c r="AQ406" s="328"/>
      <c r="AR406" s="328"/>
      <c r="AS406" s="328"/>
      <c r="AT406" s="328"/>
      <c r="AU406" s="328">
        <f t="shared" si="23"/>
        <v>10800000</v>
      </c>
      <c r="AV406" s="328">
        <f t="shared" si="24"/>
        <v>4666667</v>
      </c>
      <c r="AW406" s="328">
        <f t="shared" si="25"/>
        <v>400000</v>
      </c>
      <c r="AX406" s="330" t="s">
        <v>795</v>
      </c>
      <c r="AY406" s="331"/>
      <c r="AZ406" s="331"/>
      <c r="BA406" s="331"/>
      <c r="BB406" s="331"/>
      <c r="BC406" s="331"/>
      <c r="BD406" s="331"/>
      <c r="BE406" s="331"/>
      <c r="BF406" s="331"/>
      <c r="BG406" s="331"/>
      <c r="BH406" s="331"/>
      <c r="BI406" s="331"/>
      <c r="BJ406" s="331"/>
      <c r="BK406" s="331"/>
      <c r="BL406" s="331"/>
      <c r="BM406" s="331"/>
      <c r="BN406" s="331"/>
      <c r="BO406" s="331"/>
      <c r="BP406" s="331"/>
      <c r="BQ406" s="331"/>
      <c r="BR406" s="331"/>
      <c r="BS406" s="331"/>
      <c r="BT406" s="331"/>
      <c r="BU406" s="331"/>
      <c r="BV406" s="331"/>
      <c r="BW406" s="331"/>
      <c r="BX406" s="331"/>
      <c r="BY406" s="331"/>
      <c r="BZ406" s="331"/>
      <c r="CA406" s="331"/>
      <c r="CB406" s="331"/>
      <c r="CC406" s="331"/>
      <c r="CD406" s="331"/>
      <c r="CE406" s="331"/>
      <c r="CF406" s="331"/>
      <c r="CG406" s="331"/>
      <c r="CH406" s="331"/>
      <c r="CI406" s="331"/>
      <c r="CJ406" s="331"/>
      <c r="CK406" s="331"/>
      <c r="CL406" s="331"/>
      <c r="CM406" s="331"/>
      <c r="CN406" s="331"/>
      <c r="CO406" s="331"/>
      <c r="CP406" s="331"/>
      <c r="CQ406" s="331"/>
      <c r="CR406" s="331"/>
      <c r="CS406" s="331"/>
      <c r="CT406" s="331"/>
      <c r="CU406" s="331"/>
      <c r="CV406" s="331"/>
      <c r="CW406" s="331"/>
      <c r="CX406" s="331"/>
      <c r="CY406" s="331"/>
      <c r="CZ406" s="331"/>
      <c r="DA406" s="331"/>
      <c r="DB406" s="331"/>
      <c r="DC406" s="331"/>
      <c r="DD406" s="331"/>
      <c r="DE406" s="331"/>
      <c r="DF406" s="331"/>
      <c r="DG406" s="331"/>
      <c r="DH406" s="331"/>
      <c r="DI406" s="331"/>
      <c r="DJ406" s="331"/>
      <c r="DK406" s="331"/>
      <c r="DL406" s="331"/>
      <c r="DM406" s="331"/>
      <c r="DN406" s="331"/>
      <c r="DO406" s="331"/>
      <c r="DP406" s="331"/>
      <c r="DQ406" s="331"/>
      <c r="DR406" s="331"/>
      <c r="DS406" s="331"/>
      <c r="DT406" s="331"/>
      <c r="DU406" s="331"/>
      <c r="DV406" s="331"/>
      <c r="DW406" s="331"/>
      <c r="DX406" s="331"/>
      <c r="DY406" s="331"/>
    </row>
    <row r="407" spans="1:129" s="505" customFormat="1" ht="51" x14ac:dyDescent="0.25">
      <c r="A407" s="318">
        <v>318</v>
      </c>
      <c r="B407" s="501" t="s">
        <v>791</v>
      </c>
      <c r="C407" s="318">
        <v>1</v>
      </c>
      <c r="D407" s="501" t="s">
        <v>105</v>
      </c>
      <c r="E407" s="318">
        <v>1</v>
      </c>
      <c r="F407" s="501" t="s">
        <v>112</v>
      </c>
      <c r="G407" s="318">
        <v>19</v>
      </c>
      <c r="H407" s="501" t="s">
        <v>195</v>
      </c>
      <c r="I407" s="318">
        <v>1903</v>
      </c>
      <c r="J407" s="501" t="s">
        <v>196</v>
      </c>
      <c r="K407" s="318">
        <v>1903015</v>
      </c>
      <c r="L407" s="501" t="s">
        <v>944</v>
      </c>
      <c r="M407" s="317">
        <v>190301500</v>
      </c>
      <c r="N407" s="502" t="s">
        <v>945</v>
      </c>
      <c r="O407" s="317" t="s">
        <v>26</v>
      </c>
      <c r="P407" s="317">
        <v>12</v>
      </c>
      <c r="Q407" s="317">
        <v>6</v>
      </c>
      <c r="R407" s="503">
        <v>2020003630117</v>
      </c>
      <c r="S407" s="501" t="s">
        <v>821</v>
      </c>
      <c r="T407" s="381"/>
      <c r="U407" s="381"/>
      <c r="V407" s="381"/>
      <c r="W407" s="381"/>
      <c r="X407" s="381"/>
      <c r="Y407" s="381"/>
      <c r="Z407" s="381">
        <f>189393318-59716652</f>
        <v>129676666</v>
      </c>
      <c r="AA407" s="381">
        <v>129676666</v>
      </c>
      <c r="AB407" s="381">
        <v>121536666</v>
      </c>
      <c r="AC407" s="381"/>
      <c r="AD407" s="381"/>
      <c r="AE407" s="381"/>
      <c r="AF407" s="381"/>
      <c r="AG407" s="381"/>
      <c r="AH407" s="381"/>
      <c r="AI407" s="381"/>
      <c r="AJ407" s="381"/>
      <c r="AK407" s="381"/>
      <c r="AL407" s="400"/>
      <c r="AM407" s="400"/>
      <c r="AN407" s="400"/>
      <c r="AO407" s="381"/>
      <c r="AP407" s="381"/>
      <c r="AQ407" s="381"/>
      <c r="AR407" s="381"/>
      <c r="AS407" s="381"/>
      <c r="AT407" s="381"/>
      <c r="AU407" s="381">
        <f t="shared" si="23"/>
        <v>129676666</v>
      </c>
      <c r="AV407" s="381">
        <f t="shared" si="24"/>
        <v>129676666</v>
      </c>
      <c r="AW407" s="381">
        <f t="shared" si="25"/>
        <v>121536666</v>
      </c>
      <c r="AX407" s="504" t="s">
        <v>795</v>
      </c>
    </row>
    <row r="408" spans="1:129" s="505" customFormat="1" ht="38.25" x14ac:dyDescent="0.25">
      <c r="A408" s="318">
        <v>318</v>
      </c>
      <c r="B408" s="501" t="s">
        <v>791</v>
      </c>
      <c r="C408" s="318">
        <v>1</v>
      </c>
      <c r="D408" s="501" t="s">
        <v>105</v>
      </c>
      <c r="E408" s="318">
        <v>1</v>
      </c>
      <c r="F408" s="501" t="s">
        <v>112</v>
      </c>
      <c r="G408" s="318">
        <v>19</v>
      </c>
      <c r="H408" s="501" t="s">
        <v>195</v>
      </c>
      <c r="I408" s="318">
        <v>1905</v>
      </c>
      <c r="J408" s="501" t="s">
        <v>847</v>
      </c>
      <c r="K408" s="318">
        <v>1905015</v>
      </c>
      <c r="L408" s="501" t="s">
        <v>173</v>
      </c>
      <c r="M408" s="318">
        <v>190501501</v>
      </c>
      <c r="N408" s="502" t="s">
        <v>885</v>
      </c>
      <c r="O408" s="317" t="s">
        <v>26</v>
      </c>
      <c r="P408" s="317">
        <v>1</v>
      </c>
      <c r="Q408" s="317">
        <v>0.5</v>
      </c>
      <c r="R408" s="503">
        <v>2020003630125</v>
      </c>
      <c r="S408" s="501" t="s">
        <v>883</v>
      </c>
      <c r="T408" s="381"/>
      <c r="U408" s="381"/>
      <c r="V408" s="381"/>
      <c r="W408" s="381"/>
      <c r="X408" s="381"/>
      <c r="Y408" s="381"/>
      <c r="Z408" s="400">
        <f>60000000-24300000</f>
        <v>35700000</v>
      </c>
      <c r="AA408" s="400">
        <v>35700000</v>
      </c>
      <c r="AB408" s="400">
        <v>35500000</v>
      </c>
      <c r="AC408" s="381"/>
      <c r="AD408" s="381"/>
      <c r="AE408" s="381"/>
      <c r="AF408" s="381"/>
      <c r="AG408" s="381"/>
      <c r="AH408" s="381"/>
      <c r="AI408" s="381"/>
      <c r="AJ408" s="381"/>
      <c r="AK408" s="381"/>
      <c r="AL408" s="400"/>
      <c r="AM408" s="400"/>
      <c r="AN408" s="400"/>
      <c r="AO408" s="381"/>
      <c r="AP408" s="381"/>
      <c r="AQ408" s="381"/>
      <c r="AR408" s="381"/>
      <c r="AS408" s="381"/>
      <c r="AT408" s="381"/>
      <c r="AU408" s="416">
        <f t="shared" si="23"/>
        <v>35700000</v>
      </c>
      <c r="AV408" s="416">
        <f t="shared" si="24"/>
        <v>35700000</v>
      </c>
      <c r="AW408" s="416">
        <f t="shared" si="25"/>
        <v>35500000</v>
      </c>
      <c r="AX408" s="504" t="s">
        <v>795</v>
      </c>
    </row>
    <row r="409" spans="1:129" s="505" customFormat="1" ht="89.25" x14ac:dyDescent="0.25">
      <c r="A409" s="318">
        <v>318</v>
      </c>
      <c r="B409" s="501" t="s">
        <v>791</v>
      </c>
      <c r="C409" s="318">
        <v>1</v>
      </c>
      <c r="D409" s="501" t="s">
        <v>105</v>
      </c>
      <c r="E409" s="318">
        <v>1</v>
      </c>
      <c r="F409" s="501" t="s">
        <v>112</v>
      </c>
      <c r="G409" s="318">
        <v>19</v>
      </c>
      <c r="H409" s="501" t="s">
        <v>195</v>
      </c>
      <c r="I409" s="318">
        <v>1905</v>
      </c>
      <c r="J409" s="501" t="s">
        <v>847</v>
      </c>
      <c r="K409" s="318">
        <v>1905023</v>
      </c>
      <c r="L409" s="501" t="s">
        <v>946</v>
      </c>
      <c r="M409" s="317">
        <v>190502300</v>
      </c>
      <c r="N409" s="502" t="s">
        <v>947</v>
      </c>
      <c r="O409" s="317" t="s">
        <v>26</v>
      </c>
      <c r="P409" s="317">
        <v>12</v>
      </c>
      <c r="Q409" s="317">
        <v>6</v>
      </c>
      <c r="R409" s="503">
        <v>2020003630126</v>
      </c>
      <c r="S409" s="506" t="s">
        <v>890</v>
      </c>
      <c r="T409" s="381"/>
      <c r="U409" s="381"/>
      <c r="V409" s="381"/>
      <c r="W409" s="381"/>
      <c r="X409" s="381"/>
      <c r="Y409" s="381"/>
      <c r="Z409" s="400">
        <f>108000000-47743334</f>
        <v>60256666</v>
      </c>
      <c r="AA409" s="400">
        <v>60256666</v>
      </c>
      <c r="AB409" s="400">
        <v>60256666</v>
      </c>
      <c r="AC409" s="381"/>
      <c r="AD409" s="381"/>
      <c r="AE409" s="381"/>
      <c r="AF409" s="381"/>
      <c r="AG409" s="381"/>
      <c r="AH409" s="381"/>
      <c r="AI409" s="381"/>
      <c r="AJ409" s="381"/>
      <c r="AK409" s="381"/>
      <c r="AL409" s="400"/>
      <c r="AM409" s="400"/>
      <c r="AN409" s="400"/>
      <c r="AO409" s="381"/>
      <c r="AP409" s="381"/>
      <c r="AQ409" s="381"/>
      <c r="AR409" s="381"/>
      <c r="AS409" s="381"/>
      <c r="AT409" s="381"/>
      <c r="AU409" s="381">
        <f t="shared" ref="AU409:AU430" si="26">SUM(T409,W409,Z409,AC409,AF409,AI409,AL409,AO409,AR409)</f>
        <v>60256666</v>
      </c>
      <c r="AV409" s="381">
        <f t="shared" si="24"/>
        <v>60256666</v>
      </c>
      <c r="AW409" s="381">
        <f t="shared" si="25"/>
        <v>60256666</v>
      </c>
      <c r="AX409" s="504" t="s">
        <v>795</v>
      </c>
    </row>
    <row r="410" spans="1:129" s="505" customFormat="1" ht="89.25" x14ac:dyDescent="0.25">
      <c r="A410" s="318">
        <v>318</v>
      </c>
      <c r="B410" s="501" t="s">
        <v>791</v>
      </c>
      <c r="C410" s="318">
        <v>1</v>
      </c>
      <c r="D410" s="501" t="s">
        <v>105</v>
      </c>
      <c r="E410" s="318">
        <v>1</v>
      </c>
      <c r="F410" s="501" t="s">
        <v>112</v>
      </c>
      <c r="G410" s="318">
        <v>19</v>
      </c>
      <c r="H410" s="501" t="s">
        <v>195</v>
      </c>
      <c r="I410" s="318">
        <v>1905</v>
      </c>
      <c r="J410" s="501" t="s">
        <v>847</v>
      </c>
      <c r="K410" s="318">
        <v>1905026</v>
      </c>
      <c r="L410" s="501" t="s">
        <v>858</v>
      </c>
      <c r="M410" s="317">
        <v>190502600</v>
      </c>
      <c r="N410" s="502" t="s">
        <v>895</v>
      </c>
      <c r="O410" s="317" t="s">
        <v>26</v>
      </c>
      <c r="P410" s="318">
        <v>12</v>
      </c>
      <c r="Q410" s="318">
        <v>6</v>
      </c>
      <c r="R410" s="503">
        <v>2020003630128</v>
      </c>
      <c r="S410" s="501" t="s">
        <v>903</v>
      </c>
      <c r="T410" s="381"/>
      <c r="U410" s="381"/>
      <c r="V410" s="381"/>
      <c r="W410" s="381"/>
      <c r="X410" s="381"/>
      <c r="Y410" s="381"/>
      <c r="Z410" s="381">
        <f>94000000+507177114.53-264367114.53</f>
        <v>336810000</v>
      </c>
      <c r="AA410" s="381">
        <v>334060000</v>
      </c>
      <c r="AB410" s="381">
        <v>334059800</v>
      </c>
      <c r="AC410" s="381"/>
      <c r="AD410" s="381"/>
      <c r="AE410" s="381"/>
      <c r="AF410" s="381"/>
      <c r="AG410" s="381"/>
      <c r="AH410" s="381"/>
      <c r="AI410" s="381"/>
      <c r="AJ410" s="381"/>
      <c r="AK410" s="381"/>
      <c r="AL410" s="381">
        <f>150000000-8048729</f>
        <v>141951271</v>
      </c>
      <c r="AM410" s="381">
        <v>141951271</v>
      </c>
      <c r="AN410" s="381">
        <v>141484771</v>
      </c>
      <c r="AO410" s="381"/>
      <c r="AP410" s="381"/>
      <c r="AQ410" s="381"/>
      <c r="AR410" s="381">
        <f>333000000-333000000</f>
        <v>0</v>
      </c>
      <c r="AS410" s="381"/>
      <c r="AT410" s="381"/>
      <c r="AU410" s="381">
        <f t="shared" si="26"/>
        <v>478761271</v>
      </c>
      <c r="AV410" s="381">
        <f t="shared" si="24"/>
        <v>476011271</v>
      </c>
      <c r="AW410" s="381">
        <f t="shared" si="25"/>
        <v>475544571</v>
      </c>
      <c r="AX410" s="504" t="s">
        <v>795</v>
      </c>
    </row>
    <row r="411" spans="1:129" s="505" customFormat="1" ht="89.25" x14ac:dyDescent="0.25">
      <c r="A411" s="318">
        <v>318</v>
      </c>
      <c r="B411" s="501" t="s">
        <v>791</v>
      </c>
      <c r="C411" s="318">
        <v>1</v>
      </c>
      <c r="D411" s="501" t="s">
        <v>105</v>
      </c>
      <c r="E411" s="318">
        <v>1</v>
      </c>
      <c r="F411" s="501" t="s">
        <v>112</v>
      </c>
      <c r="G411" s="318">
        <v>19</v>
      </c>
      <c r="H411" s="501" t="s">
        <v>195</v>
      </c>
      <c r="I411" s="318">
        <v>1905</v>
      </c>
      <c r="J411" s="501" t="s">
        <v>847</v>
      </c>
      <c r="K411" s="318">
        <v>1905026</v>
      </c>
      <c r="L411" s="501" t="s">
        <v>948</v>
      </c>
      <c r="M411" s="317">
        <v>190502600</v>
      </c>
      <c r="N411" s="502" t="s">
        <v>895</v>
      </c>
      <c r="O411" s="317" t="s">
        <v>26</v>
      </c>
      <c r="P411" s="318">
        <v>12</v>
      </c>
      <c r="Q411" s="318">
        <v>6</v>
      </c>
      <c r="R411" s="503">
        <v>2020003630129</v>
      </c>
      <c r="S411" s="501" t="s">
        <v>904</v>
      </c>
      <c r="T411" s="381"/>
      <c r="U411" s="381"/>
      <c r="V411" s="381"/>
      <c r="W411" s="381"/>
      <c r="X411" s="381"/>
      <c r="Y411" s="381"/>
      <c r="Z411" s="381">
        <v>0</v>
      </c>
      <c r="AA411" s="381"/>
      <c r="AB411" s="381"/>
      <c r="AC411" s="381"/>
      <c r="AD411" s="381"/>
      <c r="AE411" s="381"/>
      <c r="AF411" s="381"/>
      <c r="AG411" s="381"/>
      <c r="AH411" s="381"/>
      <c r="AI411" s="381"/>
      <c r="AJ411" s="381"/>
      <c r="AK411" s="381"/>
      <c r="AL411" s="400"/>
      <c r="AM411" s="400"/>
      <c r="AN411" s="400"/>
      <c r="AO411" s="381"/>
      <c r="AP411" s="381"/>
      <c r="AQ411" s="381"/>
      <c r="AR411" s="381">
        <f>257500000-241500000</f>
        <v>16000000</v>
      </c>
      <c r="AS411" s="381">
        <v>16000000</v>
      </c>
      <c r="AT411" s="381">
        <v>16000000</v>
      </c>
      <c r="AU411" s="381">
        <f t="shared" si="26"/>
        <v>16000000</v>
      </c>
      <c r="AV411" s="381">
        <f t="shared" si="24"/>
        <v>16000000</v>
      </c>
      <c r="AW411" s="381">
        <f t="shared" si="25"/>
        <v>16000000</v>
      </c>
      <c r="AX411" s="504" t="s">
        <v>795</v>
      </c>
    </row>
    <row r="412" spans="1:129" s="332" customFormat="1" ht="51" x14ac:dyDescent="0.25">
      <c r="A412" s="259">
        <v>318</v>
      </c>
      <c r="B412" s="325" t="s">
        <v>791</v>
      </c>
      <c r="C412" s="259"/>
      <c r="D412" s="325"/>
      <c r="E412" s="259">
        <v>1</v>
      </c>
      <c r="F412" s="325" t="s">
        <v>112</v>
      </c>
      <c r="G412" s="259">
        <v>19</v>
      </c>
      <c r="H412" s="385" t="s">
        <v>195</v>
      </c>
      <c r="I412" s="259">
        <v>1905</v>
      </c>
      <c r="J412" s="325" t="s">
        <v>683</v>
      </c>
      <c r="K412" s="259">
        <v>1905014</v>
      </c>
      <c r="L412" s="325" t="s">
        <v>65</v>
      </c>
      <c r="M412" s="259">
        <v>190501400</v>
      </c>
      <c r="N412" s="333" t="s">
        <v>489</v>
      </c>
      <c r="O412" s="272" t="s">
        <v>26</v>
      </c>
      <c r="P412" s="280">
        <v>1</v>
      </c>
      <c r="Q412" s="280">
        <v>1</v>
      </c>
      <c r="R412" s="281">
        <v>2024003630115</v>
      </c>
      <c r="S412" s="325" t="s">
        <v>949</v>
      </c>
      <c r="T412" s="328"/>
      <c r="U412" s="328"/>
      <c r="V412" s="328"/>
      <c r="W412" s="328"/>
      <c r="X412" s="328"/>
      <c r="Y412" s="328"/>
      <c r="Z412" s="328">
        <v>46600000</v>
      </c>
      <c r="AA412" s="328"/>
      <c r="AB412" s="328"/>
      <c r="AC412" s="328"/>
      <c r="AD412" s="328"/>
      <c r="AE412" s="328"/>
      <c r="AF412" s="328"/>
      <c r="AG412" s="328"/>
      <c r="AH412" s="328"/>
      <c r="AI412" s="328"/>
      <c r="AJ412" s="328"/>
      <c r="AK412" s="328"/>
      <c r="AL412" s="404"/>
      <c r="AM412" s="404"/>
      <c r="AN412" s="404"/>
      <c r="AO412" s="328"/>
      <c r="AP412" s="328"/>
      <c r="AQ412" s="328"/>
      <c r="AR412" s="328"/>
      <c r="AS412" s="328"/>
      <c r="AT412" s="328"/>
      <c r="AU412" s="328">
        <f t="shared" si="26"/>
        <v>46600000</v>
      </c>
      <c r="AV412" s="328">
        <f t="shared" si="24"/>
        <v>0</v>
      </c>
      <c r="AW412" s="328">
        <f t="shared" si="25"/>
        <v>0</v>
      </c>
      <c r="AX412" s="330" t="s">
        <v>795</v>
      </c>
      <c r="AY412" s="331"/>
      <c r="AZ412" s="331"/>
      <c r="BA412" s="331"/>
      <c r="BB412" s="331"/>
      <c r="BC412" s="331"/>
      <c r="BD412" s="331"/>
      <c r="BE412" s="331"/>
      <c r="BF412" s="331"/>
      <c r="BG412" s="331"/>
      <c r="BH412" s="331"/>
      <c r="BI412" s="331"/>
      <c r="BJ412" s="331"/>
      <c r="BK412" s="331"/>
      <c r="BL412" s="331"/>
      <c r="BM412" s="331"/>
      <c r="BN412" s="331"/>
      <c r="BO412" s="331"/>
      <c r="BP412" s="331"/>
      <c r="BQ412" s="331"/>
      <c r="BR412" s="331"/>
      <c r="BS412" s="331"/>
      <c r="BT412" s="331"/>
      <c r="BU412" s="331"/>
      <c r="BV412" s="331"/>
      <c r="BW412" s="331"/>
      <c r="BX412" s="331"/>
      <c r="BY412" s="331"/>
      <c r="BZ412" s="331"/>
      <c r="CA412" s="331"/>
      <c r="CB412" s="331"/>
      <c r="CC412" s="331"/>
      <c r="CD412" s="331"/>
      <c r="CE412" s="331"/>
      <c r="CF412" s="331"/>
      <c r="CG412" s="331"/>
      <c r="CH412" s="331"/>
      <c r="CI412" s="331"/>
      <c r="CJ412" s="331"/>
      <c r="CK412" s="331"/>
      <c r="CL412" s="331"/>
      <c r="CM412" s="331"/>
      <c r="CN412" s="331"/>
      <c r="CO412" s="331"/>
      <c r="CP412" s="331"/>
      <c r="CQ412" s="331"/>
      <c r="CR412" s="331"/>
      <c r="CS412" s="331"/>
      <c r="CT412" s="331"/>
      <c r="CU412" s="331"/>
      <c r="CV412" s="331"/>
      <c r="CW412" s="331"/>
      <c r="CX412" s="331"/>
      <c r="CY412" s="331"/>
      <c r="CZ412" s="331"/>
      <c r="DA412" s="331"/>
      <c r="DB412" s="331"/>
      <c r="DC412" s="331"/>
      <c r="DD412" s="331"/>
      <c r="DE412" s="331"/>
      <c r="DF412" s="331"/>
      <c r="DG412" s="331"/>
      <c r="DH412" s="331"/>
      <c r="DI412" s="331"/>
      <c r="DJ412" s="331"/>
      <c r="DK412" s="331"/>
      <c r="DL412" s="331"/>
      <c r="DM412" s="331"/>
      <c r="DN412" s="331"/>
      <c r="DO412" s="331"/>
      <c r="DP412" s="331"/>
      <c r="DQ412" s="331"/>
      <c r="DR412" s="331"/>
      <c r="DS412" s="331"/>
      <c r="DT412" s="331"/>
      <c r="DU412" s="331"/>
      <c r="DV412" s="331"/>
      <c r="DW412" s="331"/>
      <c r="DX412" s="331"/>
      <c r="DY412" s="331"/>
    </row>
    <row r="413" spans="1:129" s="332" customFormat="1" ht="89.25" x14ac:dyDescent="0.25">
      <c r="A413" s="259">
        <v>318</v>
      </c>
      <c r="B413" s="325" t="s">
        <v>791</v>
      </c>
      <c r="C413" s="259"/>
      <c r="D413" s="325"/>
      <c r="E413" s="259">
        <v>1</v>
      </c>
      <c r="F413" s="325" t="s">
        <v>112</v>
      </c>
      <c r="G413" s="259">
        <v>19</v>
      </c>
      <c r="H413" s="385" t="s">
        <v>195</v>
      </c>
      <c r="I413" s="259">
        <v>1905</v>
      </c>
      <c r="J413" s="325" t="s">
        <v>683</v>
      </c>
      <c r="K413" s="259">
        <v>1905026</v>
      </c>
      <c r="L413" s="325" t="s">
        <v>858</v>
      </c>
      <c r="M413" s="272">
        <v>190502600</v>
      </c>
      <c r="N413" s="333" t="s">
        <v>897</v>
      </c>
      <c r="O413" s="272" t="s">
        <v>26</v>
      </c>
      <c r="P413" s="257">
        <v>11</v>
      </c>
      <c r="Q413" s="257">
        <v>11</v>
      </c>
      <c r="R413" s="281">
        <v>2024003630115</v>
      </c>
      <c r="S413" s="325" t="s">
        <v>950</v>
      </c>
      <c r="T413" s="328"/>
      <c r="U413" s="328"/>
      <c r="V413" s="328"/>
      <c r="W413" s="328"/>
      <c r="X413" s="328"/>
      <c r="Y413" s="328"/>
      <c r="Z413" s="328"/>
      <c r="AA413" s="328"/>
      <c r="AB413" s="328"/>
      <c r="AC413" s="328"/>
      <c r="AD413" s="328"/>
      <c r="AE413" s="328"/>
      <c r="AF413" s="328"/>
      <c r="AG413" s="328"/>
      <c r="AH413" s="328"/>
      <c r="AI413" s="328"/>
      <c r="AJ413" s="328"/>
      <c r="AK413" s="328"/>
      <c r="AL413" s="404"/>
      <c r="AM413" s="404"/>
      <c r="AN413" s="404"/>
      <c r="AO413" s="328"/>
      <c r="AP413" s="328"/>
      <c r="AQ413" s="328"/>
      <c r="AR413" s="328">
        <v>181996268</v>
      </c>
      <c r="AS413" s="328">
        <v>64866666</v>
      </c>
      <c r="AT413" s="328">
        <v>27700000</v>
      </c>
      <c r="AU413" s="328">
        <f t="shared" si="26"/>
        <v>181996268</v>
      </c>
      <c r="AV413" s="328">
        <f t="shared" si="24"/>
        <v>64866666</v>
      </c>
      <c r="AW413" s="328">
        <f t="shared" si="25"/>
        <v>27700000</v>
      </c>
      <c r="AX413" s="330" t="s">
        <v>795</v>
      </c>
      <c r="AY413" s="331"/>
      <c r="AZ413" s="331"/>
      <c r="BA413" s="331"/>
      <c r="BB413" s="331"/>
      <c r="BC413" s="331"/>
      <c r="BD413" s="331"/>
      <c r="BE413" s="331"/>
      <c r="BF413" s="331"/>
      <c r="BG413" s="331"/>
      <c r="BH413" s="331"/>
      <c r="BI413" s="331"/>
      <c r="BJ413" s="331"/>
      <c r="BK413" s="331"/>
      <c r="BL413" s="331"/>
      <c r="BM413" s="331"/>
      <c r="BN413" s="331"/>
      <c r="BO413" s="331"/>
      <c r="BP413" s="331"/>
      <c r="BQ413" s="331"/>
      <c r="BR413" s="331"/>
      <c r="BS413" s="331"/>
      <c r="BT413" s="331"/>
      <c r="BU413" s="331"/>
      <c r="BV413" s="331"/>
      <c r="BW413" s="331"/>
      <c r="BX413" s="331"/>
      <c r="BY413" s="331"/>
      <c r="BZ413" s="331"/>
      <c r="CA413" s="331"/>
      <c r="CB413" s="331"/>
      <c r="CC413" s="331"/>
      <c r="CD413" s="331"/>
      <c r="CE413" s="331"/>
      <c r="CF413" s="331"/>
      <c r="CG413" s="331"/>
      <c r="CH413" s="331"/>
      <c r="CI413" s="331"/>
      <c r="CJ413" s="331"/>
      <c r="CK413" s="331"/>
      <c r="CL413" s="331"/>
      <c r="CM413" s="331"/>
      <c r="CN413" s="331"/>
      <c r="CO413" s="331"/>
      <c r="CP413" s="331"/>
      <c r="CQ413" s="331"/>
      <c r="CR413" s="331"/>
      <c r="CS413" s="331"/>
      <c r="CT413" s="331"/>
      <c r="CU413" s="331"/>
      <c r="CV413" s="331"/>
      <c r="CW413" s="331"/>
      <c r="CX413" s="331"/>
      <c r="CY413" s="331"/>
      <c r="CZ413" s="331"/>
      <c r="DA413" s="331"/>
      <c r="DB413" s="331"/>
      <c r="DC413" s="331"/>
      <c r="DD413" s="331"/>
      <c r="DE413" s="331"/>
      <c r="DF413" s="331"/>
      <c r="DG413" s="331"/>
      <c r="DH413" s="331"/>
      <c r="DI413" s="331"/>
      <c r="DJ413" s="331"/>
      <c r="DK413" s="331"/>
      <c r="DL413" s="331"/>
      <c r="DM413" s="331"/>
      <c r="DN413" s="331"/>
      <c r="DO413" s="331"/>
      <c r="DP413" s="331"/>
      <c r="DQ413" s="331"/>
      <c r="DR413" s="331"/>
      <c r="DS413" s="331"/>
      <c r="DT413" s="331"/>
      <c r="DU413" s="331"/>
      <c r="DV413" s="331"/>
      <c r="DW413" s="331"/>
      <c r="DX413" s="331"/>
      <c r="DY413" s="331"/>
    </row>
    <row r="414" spans="1:129" s="332" customFormat="1" ht="63.75" x14ac:dyDescent="0.25">
      <c r="A414" s="259">
        <v>318</v>
      </c>
      <c r="B414" s="325" t="s">
        <v>791</v>
      </c>
      <c r="C414" s="259"/>
      <c r="D414" s="325"/>
      <c r="E414" s="259">
        <v>1</v>
      </c>
      <c r="F414" s="325" t="s">
        <v>112</v>
      </c>
      <c r="G414" s="259">
        <v>19</v>
      </c>
      <c r="H414" s="385" t="s">
        <v>195</v>
      </c>
      <c r="I414" s="259">
        <v>1905</v>
      </c>
      <c r="J414" s="325" t="s">
        <v>683</v>
      </c>
      <c r="K414" s="259">
        <v>1905040</v>
      </c>
      <c r="L414" s="325" t="s">
        <v>951</v>
      </c>
      <c r="M414" s="272">
        <v>190504002</v>
      </c>
      <c r="N414" s="333" t="s">
        <v>952</v>
      </c>
      <c r="O414" s="272" t="s">
        <v>67</v>
      </c>
      <c r="P414" s="257">
        <v>300</v>
      </c>
      <c r="Q414" s="257">
        <v>0</v>
      </c>
      <c r="R414" s="281">
        <v>2024003630115</v>
      </c>
      <c r="S414" s="325" t="s">
        <v>950</v>
      </c>
      <c r="T414" s="328"/>
      <c r="U414" s="328"/>
      <c r="V414" s="328"/>
      <c r="W414" s="328"/>
      <c r="X414" s="328"/>
      <c r="Y414" s="328"/>
      <c r="Z414" s="328">
        <v>20620000</v>
      </c>
      <c r="AA414" s="328">
        <v>12333333</v>
      </c>
      <c r="AB414" s="328">
        <v>7400000</v>
      </c>
      <c r="AC414" s="328"/>
      <c r="AD414" s="328"/>
      <c r="AE414" s="328"/>
      <c r="AF414" s="328"/>
      <c r="AG414" s="328"/>
      <c r="AH414" s="328"/>
      <c r="AI414" s="328"/>
      <c r="AJ414" s="328"/>
      <c r="AK414" s="328"/>
      <c r="AL414" s="404"/>
      <c r="AM414" s="404"/>
      <c r="AN414" s="404"/>
      <c r="AO414" s="328"/>
      <c r="AP414" s="328"/>
      <c r="AQ414" s="328"/>
      <c r="AR414" s="328">
        <v>617789000</v>
      </c>
      <c r="AS414" s="328">
        <v>320700828</v>
      </c>
      <c r="AT414" s="328"/>
      <c r="AU414" s="328">
        <f t="shared" si="26"/>
        <v>638409000</v>
      </c>
      <c r="AV414" s="328">
        <f t="shared" si="24"/>
        <v>333034161</v>
      </c>
      <c r="AW414" s="328">
        <f t="shared" si="25"/>
        <v>7400000</v>
      </c>
      <c r="AX414" s="330" t="s">
        <v>795</v>
      </c>
      <c r="AY414" s="331"/>
      <c r="AZ414" s="331"/>
      <c r="BA414" s="331"/>
      <c r="BB414" s="331"/>
      <c r="BC414" s="331"/>
      <c r="BD414" s="331"/>
      <c r="BE414" s="331"/>
      <c r="BF414" s="331"/>
      <c r="BG414" s="331"/>
      <c r="BH414" s="331"/>
      <c r="BI414" s="331"/>
      <c r="BJ414" s="331"/>
      <c r="BK414" s="331"/>
      <c r="BL414" s="331"/>
      <c r="BM414" s="331"/>
      <c r="BN414" s="331"/>
      <c r="BO414" s="331"/>
      <c r="BP414" s="331"/>
      <c r="BQ414" s="331"/>
      <c r="BR414" s="331"/>
      <c r="BS414" s="331"/>
      <c r="BT414" s="331"/>
      <c r="BU414" s="331"/>
      <c r="BV414" s="331"/>
      <c r="BW414" s="331"/>
      <c r="BX414" s="331"/>
      <c r="BY414" s="331"/>
      <c r="BZ414" s="331"/>
      <c r="CA414" s="331"/>
      <c r="CB414" s="331"/>
      <c r="CC414" s="331"/>
      <c r="CD414" s="331"/>
      <c r="CE414" s="331"/>
      <c r="CF414" s="331"/>
      <c r="CG414" s="331"/>
      <c r="CH414" s="331"/>
      <c r="CI414" s="331"/>
      <c r="CJ414" s="331"/>
      <c r="CK414" s="331"/>
      <c r="CL414" s="331"/>
      <c r="CM414" s="331"/>
      <c r="CN414" s="331"/>
      <c r="CO414" s="331"/>
      <c r="CP414" s="331"/>
      <c r="CQ414" s="331"/>
      <c r="CR414" s="331"/>
      <c r="CS414" s="331"/>
      <c r="CT414" s="331"/>
      <c r="CU414" s="331"/>
      <c r="CV414" s="331"/>
      <c r="CW414" s="331"/>
      <c r="CX414" s="331"/>
      <c r="CY414" s="331"/>
      <c r="CZ414" s="331"/>
      <c r="DA414" s="331"/>
      <c r="DB414" s="331"/>
      <c r="DC414" s="331"/>
      <c r="DD414" s="331"/>
      <c r="DE414" s="331"/>
      <c r="DF414" s="331"/>
      <c r="DG414" s="331"/>
      <c r="DH414" s="331"/>
      <c r="DI414" s="331"/>
      <c r="DJ414" s="331"/>
      <c r="DK414" s="331"/>
      <c r="DL414" s="331"/>
      <c r="DM414" s="331"/>
      <c r="DN414" s="331"/>
      <c r="DO414" s="331"/>
      <c r="DP414" s="331"/>
      <c r="DQ414" s="331"/>
      <c r="DR414" s="331"/>
      <c r="DS414" s="331"/>
      <c r="DT414" s="331"/>
      <c r="DU414" s="331"/>
      <c r="DV414" s="331"/>
      <c r="DW414" s="331"/>
      <c r="DX414" s="331"/>
      <c r="DY414" s="331"/>
    </row>
    <row r="415" spans="1:129" s="332" customFormat="1" ht="63.75" x14ac:dyDescent="0.25">
      <c r="A415" s="259">
        <v>318</v>
      </c>
      <c r="B415" s="325" t="s">
        <v>791</v>
      </c>
      <c r="C415" s="259"/>
      <c r="D415" s="325"/>
      <c r="E415" s="259">
        <v>1</v>
      </c>
      <c r="F415" s="325" t="s">
        <v>112</v>
      </c>
      <c r="G415" s="259">
        <v>19</v>
      </c>
      <c r="H415" s="385" t="s">
        <v>195</v>
      </c>
      <c r="I415" s="259">
        <v>1905</v>
      </c>
      <c r="J415" s="325" t="s">
        <v>683</v>
      </c>
      <c r="K415" s="259">
        <v>1905050</v>
      </c>
      <c r="L415" s="325" t="s">
        <v>69</v>
      </c>
      <c r="M415" s="272">
        <v>190505000</v>
      </c>
      <c r="N415" s="333" t="s">
        <v>828</v>
      </c>
      <c r="O415" s="272" t="s">
        <v>67</v>
      </c>
      <c r="P415" s="257">
        <v>54</v>
      </c>
      <c r="Q415" s="257">
        <v>4</v>
      </c>
      <c r="R415" s="281">
        <v>2024003630115</v>
      </c>
      <c r="S415" s="325" t="s">
        <v>950</v>
      </c>
      <c r="T415" s="328"/>
      <c r="U415" s="328"/>
      <c r="V415" s="328"/>
      <c r="W415" s="328"/>
      <c r="X415" s="328"/>
      <c r="Y415" s="328"/>
      <c r="Z415" s="328"/>
      <c r="AA415" s="328"/>
      <c r="AB415" s="328"/>
      <c r="AC415" s="328"/>
      <c r="AD415" s="328"/>
      <c r="AE415" s="328"/>
      <c r="AF415" s="328"/>
      <c r="AG415" s="328"/>
      <c r="AH415" s="328"/>
      <c r="AI415" s="328"/>
      <c r="AJ415" s="328"/>
      <c r="AK415" s="328"/>
      <c r="AL415" s="404"/>
      <c r="AM415" s="404"/>
      <c r="AN415" s="404"/>
      <c r="AO415" s="328"/>
      <c r="AP415" s="328"/>
      <c r="AQ415" s="328"/>
      <c r="AR415" s="328">
        <v>100000000</v>
      </c>
      <c r="AS415" s="328">
        <v>26866665</v>
      </c>
      <c r="AT415" s="328">
        <v>11700000</v>
      </c>
      <c r="AU415" s="328">
        <f t="shared" si="26"/>
        <v>100000000</v>
      </c>
      <c r="AV415" s="328">
        <f t="shared" si="24"/>
        <v>26866665</v>
      </c>
      <c r="AW415" s="328">
        <f t="shared" si="25"/>
        <v>11700000</v>
      </c>
      <c r="AX415" s="330" t="s">
        <v>795</v>
      </c>
      <c r="AY415" s="331"/>
      <c r="AZ415" s="331"/>
      <c r="BA415" s="331"/>
      <c r="BB415" s="331"/>
      <c r="BC415" s="331"/>
      <c r="BD415" s="331"/>
      <c r="BE415" s="331"/>
      <c r="BF415" s="331"/>
      <c r="BG415" s="331"/>
      <c r="BH415" s="331"/>
      <c r="BI415" s="331"/>
      <c r="BJ415" s="331"/>
      <c r="BK415" s="331"/>
      <c r="BL415" s="331"/>
      <c r="BM415" s="331"/>
      <c r="BN415" s="331"/>
      <c r="BO415" s="331"/>
      <c r="BP415" s="331"/>
      <c r="BQ415" s="331"/>
      <c r="BR415" s="331"/>
      <c r="BS415" s="331"/>
      <c r="BT415" s="331"/>
      <c r="BU415" s="331"/>
      <c r="BV415" s="331"/>
      <c r="BW415" s="331"/>
      <c r="BX415" s="331"/>
      <c r="BY415" s="331"/>
      <c r="BZ415" s="331"/>
      <c r="CA415" s="331"/>
      <c r="CB415" s="331"/>
      <c r="CC415" s="331"/>
      <c r="CD415" s="331"/>
      <c r="CE415" s="331"/>
      <c r="CF415" s="331"/>
      <c r="CG415" s="331"/>
      <c r="CH415" s="331"/>
      <c r="CI415" s="331"/>
      <c r="CJ415" s="331"/>
      <c r="CK415" s="331"/>
      <c r="CL415" s="331"/>
      <c r="CM415" s="331"/>
      <c r="CN415" s="331"/>
      <c r="CO415" s="331"/>
      <c r="CP415" s="331"/>
      <c r="CQ415" s="331"/>
      <c r="CR415" s="331"/>
      <c r="CS415" s="331"/>
      <c r="CT415" s="331"/>
      <c r="CU415" s="331"/>
      <c r="CV415" s="331"/>
      <c r="CW415" s="331"/>
      <c r="CX415" s="331"/>
      <c r="CY415" s="331"/>
      <c r="CZ415" s="331"/>
      <c r="DA415" s="331"/>
      <c r="DB415" s="331"/>
      <c r="DC415" s="331"/>
      <c r="DD415" s="331"/>
      <c r="DE415" s="331"/>
      <c r="DF415" s="331"/>
      <c r="DG415" s="331"/>
      <c r="DH415" s="331"/>
      <c r="DI415" s="331"/>
      <c r="DJ415" s="331"/>
      <c r="DK415" s="331"/>
      <c r="DL415" s="331"/>
      <c r="DM415" s="331"/>
      <c r="DN415" s="331"/>
      <c r="DO415" s="331"/>
      <c r="DP415" s="331"/>
      <c r="DQ415" s="331"/>
      <c r="DR415" s="331"/>
      <c r="DS415" s="331"/>
      <c r="DT415" s="331"/>
      <c r="DU415" s="331"/>
      <c r="DV415" s="331"/>
      <c r="DW415" s="331"/>
      <c r="DX415" s="331"/>
      <c r="DY415" s="331"/>
    </row>
    <row r="416" spans="1:129" s="331" customFormat="1" ht="63.75" x14ac:dyDescent="0.25">
      <c r="A416" s="257">
        <v>318</v>
      </c>
      <c r="B416" s="376" t="s">
        <v>791</v>
      </c>
      <c r="C416" s="257">
        <v>1</v>
      </c>
      <c r="D416" s="376" t="s">
        <v>105</v>
      </c>
      <c r="E416" s="257">
        <v>1</v>
      </c>
      <c r="F416" s="376" t="s">
        <v>112</v>
      </c>
      <c r="G416" s="257">
        <v>19</v>
      </c>
      <c r="H416" s="376" t="s">
        <v>195</v>
      </c>
      <c r="I416" s="257">
        <v>1905</v>
      </c>
      <c r="J416" s="376" t="s">
        <v>847</v>
      </c>
      <c r="K416" s="257">
        <v>1905030</v>
      </c>
      <c r="L416" s="376" t="s">
        <v>953</v>
      </c>
      <c r="M416" s="280">
        <v>190503000</v>
      </c>
      <c r="N416" s="388" t="s">
        <v>857</v>
      </c>
      <c r="O416" s="280" t="s">
        <v>26</v>
      </c>
      <c r="P416" s="280">
        <v>60</v>
      </c>
      <c r="Q416" s="280">
        <v>49</v>
      </c>
      <c r="R416" s="380">
        <v>2020003630131</v>
      </c>
      <c r="S416" s="500" t="s">
        <v>954</v>
      </c>
      <c r="T416" s="381"/>
      <c r="U416" s="381"/>
      <c r="V416" s="381"/>
      <c r="W416" s="381"/>
      <c r="X416" s="381"/>
      <c r="Y416" s="381"/>
      <c r="Z416" s="381">
        <f>24000000-19700000</f>
        <v>4300000</v>
      </c>
      <c r="AA416" s="381">
        <v>4300000</v>
      </c>
      <c r="AB416" s="381">
        <v>4300000</v>
      </c>
      <c r="AC416" s="381"/>
      <c r="AD416" s="381"/>
      <c r="AE416" s="381"/>
      <c r="AF416" s="381"/>
      <c r="AG416" s="381"/>
      <c r="AH416" s="381"/>
      <c r="AI416" s="381"/>
      <c r="AJ416" s="381"/>
      <c r="AK416" s="381"/>
      <c r="AL416" s="400"/>
      <c r="AM416" s="400"/>
      <c r="AN416" s="400"/>
      <c r="AO416" s="381"/>
      <c r="AP416" s="381"/>
      <c r="AQ416" s="381"/>
      <c r="AR416" s="381"/>
      <c r="AS416" s="381"/>
      <c r="AT416" s="381"/>
      <c r="AU416" s="381">
        <f t="shared" si="26"/>
        <v>4300000</v>
      </c>
      <c r="AV416" s="381">
        <f t="shared" si="24"/>
        <v>4300000</v>
      </c>
      <c r="AW416" s="381">
        <f t="shared" si="25"/>
        <v>4300000</v>
      </c>
      <c r="AX416" s="473" t="s">
        <v>795</v>
      </c>
    </row>
    <row r="417" spans="1:129" s="331" customFormat="1" ht="89.25" x14ac:dyDescent="0.25">
      <c r="A417" s="257">
        <v>318</v>
      </c>
      <c r="B417" s="376" t="s">
        <v>791</v>
      </c>
      <c r="C417" s="257">
        <v>1</v>
      </c>
      <c r="D417" s="376" t="s">
        <v>105</v>
      </c>
      <c r="E417" s="257">
        <v>1</v>
      </c>
      <c r="F417" s="376" t="s">
        <v>112</v>
      </c>
      <c r="G417" s="257">
        <v>19</v>
      </c>
      <c r="H417" s="376" t="s">
        <v>195</v>
      </c>
      <c r="I417" s="257">
        <v>1905</v>
      </c>
      <c r="J417" s="376" t="s">
        <v>847</v>
      </c>
      <c r="K417" s="257">
        <v>1905025</v>
      </c>
      <c r="L417" s="376" t="s">
        <v>955</v>
      </c>
      <c r="M417" s="280">
        <v>190502500</v>
      </c>
      <c r="N417" s="388" t="s">
        <v>956</v>
      </c>
      <c r="O417" s="280" t="s">
        <v>26</v>
      </c>
      <c r="P417" s="280">
        <v>12</v>
      </c>
      <c r="Q417" s="280">
        <v>10</v>
      </c>
      <c r="R417" s="380">
        <v>2020003630132</v>
      </c>
      <c r="S417" s="500" t="s">
        <v>957</v>
      </c>
      <c r="T417" s="381"/>
      <c r="U417" s="381"/>
      <c r="V417" s="381"/>
      <c r="W417" s="381"/>
      <c r="X417" s="381"/>
      <c r="Y417" s="381"/>
      <c r="Z417" s="381">
        <f>102000000-34623334</f>
        <v>67376666</v>
      </c>
      <c r="AA417" s="381">
        <v>67376666</v>
      </c>
      <c r="AB417" s="381">
        <v>67376666</v>
      </c>
      <c r="AC417" s="381"/>
      <c r="AD417" s="381"/>
      <c r="AE417" s="381"/>
      <c r="AF417" s="381"/>
      <c r="AG417" s="381"/>
      <c r="AH417" s="381"/>
      <c r="AI417" s="381"/>
      <c r="AJ417" s="381"/>
      <c r="AK417" s="381"/>
      <c r="AL417" s="400"/>
      <c r="AM417" s="400"/>
      <c r="AN417" s="400"/>
      <c r="AO417" s="381"/>
      <c r="AP417" s="381"/>
      <c r="AQ417" s="381"/>
      <c r="AR417" s="381"/>
      <c r="AS417" s="381"/>
      <c r="AT417" s="381"/>
      <c r="AU417" s="381">
        <f t="shared" si="26"/>
        <v>67376666</v>
      </c>
      <c r="AV417" s="381">
        <f t="shared" si="24"/>
        <v>67376666</v>
      </c>
      <c r="AW417" s="381">
        <f t="shared" si="25"/>
        <v>67376666</v>
      </c>
      <c r="AX417" s="473" t="s">
        <v>795</v>
      </c>
    </row>
    <row r="418" spans="1:129" s="332" customFormat="1" ht="89.25" x14ac:dyDescent="0.25">
      <c r="A418" s="259">
        <v>318</v>
      </c>
      <c r="B418" s="325" t="s">
        <v>791</v>
      </c>
      <c r="C418" s="259"/>
      <c r="D418" s="325"/>
      <c r="E418" s="259">
        <v>1</v>
      </c>
      <c r="F418" s="325" t="s">
        <v>112</v>
      </c>
      <c r="G418" s="259">
        <v>19</v>
      </c>
      <c r="H418" s="385" t="s">
        <v>195</v>
      </c>
      <c r="I418" s="259">
        <v>1905</v>
      </c>
      <c r="J418" s="325" t="s">
        <v>907</v>
      </c>
      <c r="K418" s="259">
        <v>1905023</v>
      </c>
      <c r="L418" s="325" t="s">
        <v>958</v>
      </c>
      <c r="M418" s="272">
        <v>190502300</v>
      </c>
      <c r="N418" s="333" t="s">
        <v>959</v>
      </c>
      <c r="O418" s="272" t="s">
        <v>26</v>
      </c>
      <c r="P418" s="280">
        <v>11</v>
      </c>
      <c r="Q418" s="280">
        <v>11</v>
      </c>
      <c r="R418" s="281">
        <v>2024003630099</v>
      </c>
      <c r="S418" s="385" t="s">
        <v>960</v>
      </c>
      <c r="T418" s="328"/>
      <c r="U418" s="328"/>
      <c r="V418" s="328"/>
      <c r="W418" s="328"/>
      <c r="X418" s="328"/>
      <c r="Y418" s="328"/>
      <c r="Z418" s="404">
        <v>73000000</v>
      </c>
      <c r="AA418" s="404">
        <v>54433333</v>
      </c>
      <c r="AB418" s="404">
        <v>30700000</v>
      </c>
      <c r="AC418" s="328"/>
      <c r="AD418" s="328"/>
      <c r="AE418" s="328"/>
      <c r="AF418" s="328"/>
      <c r="AG418" s="328"/>
      <c r="AH418" s="328"/>
      <c r="AI418" s="328"/>
      <c r="AJ418" s="328"/>
      <c r="AK418" s="328"/>
      <c r="AL418" s="343"/>
      <c r="AM418" s="343"/>
      <c r="AN418" s="343"/>
      <c r="AO418" s="343"/>
      <c r="AP418" s="343"/>
      <c r="AQ418" s="343"/>
      <c r="AR418" s="343"/>
      <c r="AS418" s="343"/>
      <c r="AT418" s="343"/>
      <c r="AU418" s="328">
        <f t="shared" si="26"/>
        <v>73000000</v>
      </c>
      <c r="AV418" s="328">
        <f t="shared" si="24"/>
        <v>54433333</v>
      </c>
      <c r="AW418" s="328">
        <f t="shared" si="25"/>
        <v>30700000</v>
      </c>
      <c r="AX418" s="330" t="s">
        <v>795</v>
      </c>
      <c r="AY418" s="331"/>
      <c r="AZ418" s="331"/>
      <c r="BA418" s="331"/>
      <c r="BB418" s="331"/>
      <c r="BC418" s="331"/>
      <c r="BD418" s="331"/>
      <c r="BE418" s="331"/>
      <c r="BF418" s="331"/>
      <c r="BG418" s="331"/>
      <c r="BH418" s="331"/>
      <c r="BI418" s="331"/>
      <c r="BJ418" s="331"/>
      <c r="BK418" s="331"/>
      <c r="BL418" s="331"/>
      <c r="BM418" s="331"/>
      <c r="BN418" s="331"/>
      <c r="BO418" s="331"/>
      <c r="BP418" s="331"/>
      <c r="BQ418" s="331"/>
      <c r="BR418" s="331"/>
      <c r="BS418" s="331"/>
      <c r="BT418" s="331"/>
      <c r="BU418" s="331"/>
      <c r="BV418" s="331"/>
      <c r="BW418" s="331"/>
      <c r="BX418" s="331"/>
      <c r="BY418" s="331"/>
      <c r="BZ418" s="331"/>
      <c r="CA418" s="331"/>
      <c r="CB418" s="331"/>
      <c r="CC418" s="331"/>
      <c r="CD418" s="331"/>
      <c r="CE418" s="331"/>
      <c r="CF418" s="331"/>
      <c r="CG418" s="331"/>
      <c r="CH418" s="331"/>
      <c r="CI418" s="331"/>
      <c r="CJ418" s="331"/>
      <c r="CK418" s="331"/>
      <c r="CL418" s="331"/>
      <c r="CM418" s="331"/>
      <c r="CN418" s="331"/>
      <c r="CO418" s="331"/>
      <c r="CP418" s="331"/>
      <c r="CQ418" s="331"/>
      <c r="CR418" s="331"/>
      <c r="CS418" s="331"/>
      <c r="CT418" s="331"/>
      <c r="CU418" s="331"/>
      <c r="CV418" s="331"/>
      <c r="CW418" s="331"/>
      <c r="CX418" s="331"/>
      <c r="CY418" s="331"/>
      <c r="CZ418" s="331"/>
      <c r="DA418" s="331"/>
      <c r="DB418" s="331"/>
      <c r="DC418" s="331"/>
      <c r="DD418" s="331"/>
      <c r="DE418" s="331"/>
      <c r="DF418" s="331"/>
      <c r="DG418" s="331"/>
      <c r="DH418" s="331"/>
      <c r="DI418" s="331"/>
      <c r="DJ418" s="331"/>
      <c r="DK418" s="331"/>
      <c r="DL418" s="331"/>
      <c r="DM418" s="331"/>
      <c r="DN418" s="331"/>
      <c r="DO418" s="331"/>
      <c r="DP418" s="331"/>
      <c r="DQ418" s="331"/>
      <c r="DR418" s="331"/>
      <c r="DS418" s="331"/>
      <c r="DT418" s="331"/>
      <c r="DU418" s="331"/>
      <c r="DV418" s="331"/>
      <c r="DW418" s="331"/>
      <c r="DX418" s="331"/>
      <c r="DY418" s="331"/>
    </row>
    <row r="419" spans="1:129" s="332" customFormat="1" ht="89.25" x14ac:dyDescent="0.25">
      <c r="A419" s="259">
        <v>318</v>
      </c>
      <c r="B419" s="325" t="s">
        <v>791</v>
      </c>
      <c r="C419" s="259"/>
      <c r="D419" s="325"/>
      <c r="E419" s="259">
        <v>1</v>
      </c>
      <c r="F419" s="325" t="s">
        <v>112</v>
      </c>
      <c r="G419" s="259">
        <v>19</v>
      </c>
      <c r="H419" s="385" t="s">
        <v>195</v>
      </c>
      <c r="I419" s="259">
        <v>1905</v>
      </c>
      <c r="J419" s="325" t="s">
        <v>683</v>
      </c>
      <c r="K419" s="259">
        <v>1905025</v>
      </c>
      <c r="L419" s="325" t="s">
        <v>955</v>
      </c>
      <c r="M419" s="272">
        <v>190502500</v>
      </c>
      <c r="N419" s="333" t="s">
        <v>956</v>
      </c>
      <c r="O419" s="272" t="s">
        <v>26</v>
      </c>
      <c r="P419" s="280">
        <v>11</v>
      </c>
      <c r="Q419" s="280">
        <v>10</v>
      </c>
      <c r="R419" s="281">
        <v>2024003630099</v>
      </c>
      <c r="S419" s="385" t="s">
        <v>960</v>
      </c>
      <c r="T419" s="328"/>
      <c r="U419" s="328"/>
      <c r="V419" s="328"/>
      <c r="W419" s="328"/>
      <c r="X419" s="328"/>
      <c r="Y419" s="328"/>
      <c r="Z419" s="328">
        <v>14550000</v>
      </c>
      <c r="AA419" s="328">
        <v>14500000</v>
      </c>
      <c r="AB419" s="328">
        <f>27500000-AB420</f>
        <v>13000000</v>
      </c>
      <c r="AC419" s="328"/>
      <c r="AD419" s="328"/>
      <c r="AE419" s="328"/>
      <c r="AF419" s="328"/>
      <c r="AG419" s="328"/>
      <c r="AH419" s="328"/>
      <c r="AI419" s="328"/>
      <c r="AJ419" s="328"/>
      <c r="AK419" s="328"/>
      <c r="AL419" s="404"/>
      <c r="AM419" s="404"/>
      <c r="AN419" s="404"/>
      <c r="AO419" s="328"/>
      <c r="AP419" s="328"/>
      <c r="AQ419" s="328"/>
      <c r="AR419" s="328"/>
      <c r="AS419" s="328"/>
      <c r="AT419" s="328"/>
      <c r="AU419" s="328">
        <f t="shared" si="26"/>
        <v>14550000</v>
      </c>
      <c r="AV419" s="328">
        <f t="shared" si="24"/>
        <v>14500000</v>
      </c>
      <c r="AW419" s="328">
        <f t="shared" si="25"/>
        <v>13000000</v>
      </c>
      <c r="AX419" s="330" t="s">
        <v>795</v>
      </c>
      <c r="AY419" s="331"/>
      <c r="AZ419" s="331"/>
      <c r="BA419" s="331"/>
      <c r="BB419" s="331"/>
      <c r="BC419" s="331"/>
      <c r="BD419" s="331"/>
      <c r="BE419" s="331"/>
      <c r="BF419" s="331"/>
      <c r="BG419" s="331"/>
      <c r="BH419" s="331"/>
      <c r="BI419" s="331"/>
      <c r="BJ419" s="331"/>
      <c r="BK419" s="331"/>
      <c r="BL419" s="331"/>
      <c r="BM419" s="331"/>
      <c r="BN419" s="331"/>
      <c r="BO419" s="331"/>
      <c r="BP419" s="331"/>
      <c r="BQ419" s="331"/>
      <c r="BR419" s="331"/>
      <c r="BS419" s="331"/>
      <c r="BT419" s="331"/>
      <c r="BU419" s="331"/>
      <c r="BV419" s="331"/>
      <c r="BW419" s="331"/>
      <c r="BX419" s="331"/>
      <c r="BY419" s="331"/>
      <c r="BZ419" s="331"/>
      <c r="CA419" s="331"/>
      <c r="CB419" s="331"/>
      <c r="CC419" s="331"/>
      <c r="CD419" s="331"/>
      <c r="CE419" s="331"/>
      <c r="CF419" s="331"/>
      <c r="CG419" s="331"/>
      <c r="CH419" s="331"/>
      <c r="CI419" s="331"/>
      <c r="CJ419" s="331"/>
      <c r="CK419" s="331"/>
      <c r="CL419" s="331"/>
      <c r="CM419" s="331"/>
      <c r="CN419" s="331"/>
      <c r="CO419" s="331"/>
      <c r="CP419" s="331"/>
      <c r="CQ419" s="331"/>
      <c r="CR419" s="331"/>
      <c r="CS419" s="331"/>
      <c r="CT419" s="331"/>
      <c r="CU419" s="331"/>
      <c r="CV419" s="331"/>
      <c r="CW419" s="331"/>
      <c r="CX419" s="331"/>
      <c r="CY419" s="331"/>
      <c r="CZ419" s="331"/>
      <c r="DA419" s="331"/>
      <c r="DB419" s="331"/>
      <c r="DC419" s="331"/>
      <c r="DD419" s="331"/>
      <c r="DE419" s="331"/>
      <c r="DF419" s="331"/>
      <c r="DG419" s="331"/>
      <c r="DH419" s="331"/>
      <c r="DI419" s="331"/>
      <c r="DJ419" s="331"/>
      <c r="DK419" s="331"/>
      <c r="DL419" s="331"/>
      <c r="DM419" s="331"/>
      <c r="DN419" s="331"/>
      <c r="DO419" s="331"/>
      <c r="DP419" s="331"/>
      <c r="DQ419" s="331"/>
      <c r="DR419" s="331"/>
      <c r="DS419" s="331"/>
      <c r="DT419" s="331"/>
      <c r="DU419" s="331"/>
      <c r="DV419" s="331"/>
      <c r="DW419" s="331"/>
      <c r="DX419" s="331"/>
      <c r="DY419" s="331"/>
    </row>
    <row r="420" spans="1:129" s="332" customFormat="1" ht="102" x14ac:dyDescent="0.25">
      <c r="A420" s="259">
        <v>318</v>
      </c>
      <c r="B420" s="325" t="s">
        <v>791</v>
      </c>
      <c r="C420" s="259"/>
      <c r="D420" s="325"/>
      <c r="E420" s="259">
        <v>1</v>
      </c>
      <c r="F420" s="325" t="s">
        <v>112</v>
      </c>
      <c r="G420" s="259">
        <v>19</v>
      </c>
      <c r="H420" s="385" t="s">
        <v>195</v>
      </c>
      <c r="I420" s="259">
        <v>1905</v>
      </c>
      <c r="J420" s="325" t="s">
        <v>683</v>
      </c>
      <c r="K420" s="259">
        <v>1905025</v>
      </c>
      <c r="L420" s="325" t="s">
        <v>955</v>
      </c>
      <c r="M420" s="259">
        <v>190502502</v>
      </c>
      <c r="N420" s="325" t="s">
        <v>961</v>
      </c>
      <c r="O420" s="272" t="s">
        <v>26</v>
      </c>
      <c r="P420" s="280">
        <v>60</v>
      </c>
      <c r="Q420" s="280">
        <v>54</v>
      </c>
      <c r="R420" s="281">
        <v>2024003630099</v>
      </c>
      <c r="S420" s="385" t="s">
        <v>960</v>
      </c>
      <c r="T420" s="328"/>
      <c r="U420" s="328"/>
      <c r="V420" s="328"/>
      <c r="W420" s="328"/>
      <c r="X420" s="328"/>
      <c r="Y420" s="328"/>
      <c r="Z420" s="328">
        <v>14550000</v>
      </c>
      <c r="AA420" s="328">
        <v>14500000</v>
      </c>
      <c r="AB420" s="328">
        <f>AA420</f>
        <v>14500000</v>
      </c>
      <c r="AC420" s="328"/>
      <c r="AD420" s="328"/>
      <c r="AE420" s="328"/>
      <c r="AF420" s="328"/>
      <c r="AG420" s="328"/>
      <c r="AH420" s="328"/>
      <c r="AI420" s="328"/>
      <c r="AJ420" s="328"/>
      <c r="AK420" s="328"/>
      <c r="AL420" s="404"/>
      <c r="AM420" s="404"/>
      <c r="AN420" s="404"/>
      <c r="AO420" s="328"/>
      <c r="AP420" s="328"/>
      <c r="AQ420" s="328"/>
      <c r="AR420" s="328"/>
      <c r="AS420" s="328"/>
      <c r="AT420" s="328"/>
      <c r="AU420" s="328">
        <f t="shared" si="26"/>
        <v>14550000</v>
      </c>
      <c r="AV420" s="328">
        <f t="shared" si="24"/>
        <v>14500000</v>
      </c>
      <c r="AW420" s="328">
        <f t="shared" si="25"/>
        <v>14500000</v>
      </c>
      <c r="AX420" s="330" t="s">
        <v>795</v>
      </c>
      <c r="AY420" s="331"/>
      <c r="AZ420" s="331"/>
      <c r="BA420" s="331"/>
      <c r="BB420" s="331"/>
      <c r="BC420" s="331"/>
      <c r="BD420" s="331"/>
      <c r="BE420" s="331"/>
      <c r="BF420" s="331"/>
      <c r="BG420" s="331"/>
      <c r="BH420" s="331"/>
      <c r="BI420" s="331"/>
      <c r="BJ420" s="331"/>
      <c r="BK420" s="331"/>
      <c r="BL420" s="331"/>
      <c r="BM420" s="331"/>
      <c r="BN420" s="331"/>
      <c r="BO420" s="331"/>
      <c r="BP420" s="331"/>
      <c r="BQ420" s="331"/>
      <c r="BR420" s="331"/>
      <c r="BS420" s="331"/>
      <c r="BT420" s="331"/>
      <c r="BU420" s="331"/>
      <c r="BV420" s="331"/>
      <c r="BW420" s="331"/>
      <c r="BX420" s="331"/>
      <c r="BY420" s="331"/>
      <c r="BZ420" s="331"/>
      <c r="CA420" s="331"/>
      <c r="CB420" s="331"/>
      <c r="CC420" s="331"/>
      <c r="CD420" s="331"/>
      <c r="CE420" s="331"/>
      <c r="CF420" s="331"/>
      <c r="CG420" s="331"/>
      <c r="CH420" s="331"/>
      <c r="CI420" s="331"/>
      <c r="CJ420" s="331"/>
      <c r="CK420" s="331"/>
      <c r="CL420" s="331"/>
      <c r="CM420" s="331"/>
      <c r="CN420" s="331"/>
      <c r="CO420" s="331"/>
      <c r="CP420" s="331"/>
      <c r="CQ420" s="331"/>
      <c r="CR420" s="331"/>
      <c r="CS420" s="331"/>
      <c r="CT420" s="331"/>
      <c r="CU420" s="331"/>
      <c r="CV420" s="331"/>
      <c r="CW420" s="331"/>
      <c r="CX420" s="331"/>
      <c r="CY420" s="331"/>
      <c r="CZ420" s="331"/>
      <c r="DA420" s="331"/>
      <c r="DB420" s="331"/>
      <c r="DC420" s="331"/>
      <c r="DD420" s="331"/>
      <c r="DE420" s="331"/>
      <c r="DF420" s="331"/>
      <c r="DG420" s="331"/>
      <c r="DH420" s="331"/>
      <c r="DI420" s="331"/>
      <c r="DJ420" s="331"/>
      <c r="DK420" s="331"/>
      <c r="DL420" s="331"/>
      <c r="DM420" s="331"/>
      <c r="DN420" s="331"/>
      <c r="DO420" s="331"/>
      <c r="DP420" s="331"/>
      <c r="DQ420" s="331"/>
      <c r="DR420" s="331"/>
      <c r="DS420" s="331"/>
      <c r="DT420" s="331"/>
      <c r="DU420" s="331"/>
      <c r="DV420" s="331"/>
      <c r="DW420" s="331"/>
      <c r="DX420" s="331"/>
      <c r="DY420" s="331"/>
    </row>
    <row r="421" spans="1:129" s="332" customFormat="1" ht="89.25" x14ac:dyDescent="0.25">
      <c r="A421" s="259">
        <v>318</v>
      </c>
      <c r="B421" s="325" t="s">
        <v>791</v>
      </c>
      <c r="C421" s="259"/>
      <c r="D421" s="325"/>
      <c r="E421" s="259">
        <v>1</v>
      </c>
      <c r="F421" s="325" t="s">
        <v>112</v>
      </c>
      <c r="G421" s="259">
        <v>19</v>
      </c>
      <c r="H421" s="385" t="s">
        <v>195</v>
      </c>
      <c r="I421" s="259">
        <v>1905</v>
      </c>
      <c r="J421" s="325" t="s">
        <v>683</v>
      </c>
      <c r="K421" s="259">
        <v>1905025</v>
      </c>
      <c r="L421" s="325" t="s">
        <v>955</v>
      </c>
      <c r="M421" s="259">
        <v>190502503</v>
      </c>
      <c r="N421" s="325" t="s">
        <v>962</v>
      </c>
      <c r="O421" s="272" t="s">
        <v>26</v>
      </c>
      <c r="P421" s="280">
        <v>11</v>
      </c>
      <c r="Q421" s="280">
        <v>11</v>
      </c>
      <c r="R421" s="281">
        <v>2024003630099</v>
      </c>
      <c r="S421" s="385" t="s">
        <v>960</v>
      </c>
      <c r="T421" s="328"/>
      <c r="U421" s="328"/>
      <c r="V421" s="328"/>
      <c r="W421" s="328"/>
      <c r="X421" s="328"/>
      <c r="Y421" s="328"/>
      <c r="Z421" s="328">
        <v>9550000</v>
      </c>
      <c r="AA421" s="328">
        <v>9533333</v>
      </c>
      <c r="AB421" s="328"/>
      <c r="AC421" s="328"/>
      <c r="AD421" s="328"/>
      <c r="AE421" s="328"/>
      <c r="AF421" s="328"/>
      <c r="AG421" s="328"/>
      <c r="AH421" s="328"/>
      <c r="AI421" s="328"/>
      <c r="AJ421" s="328"/>
      <c r="AK421" s="328"/>
      <c r="AL421" s="404"/>
      <c r="AM421" s="404"/>
      <c r="AN421" s="404"/>
      <c r="AO421" s="328"/>
      <c r="AP421" s="328"/>
      <c r="AQ421" s="328"/>
      <c r="AR421" s="328"/>
      <c r="AS421" s="328"/>
      <c r="AT421" s="328"/>
      <c r="AU421" s="328">
        <f t="shared" si="26"/>
        <v>9550000</v>
      </c>
      <c r="AV421" s="328">
        <f t="shared" si="24"/>
        <v>9533333</v>
      </c>
      <c r="AW421" s="328">
        <f t="shared" si="25"/>
        <v>0</v>
      </c>
      <c r="AX421" s="330" t="s">
        <v>795</v>
      </c>
      <c r="AY421" s="331"/>
      <c r="AZ421" s="331"/>
      <c r="BA421" s="331"/>
      <c r="BB421" s="331"/>
      <c r="BC421" s="331"/>
      <c r="BD421" s="331"/>
      <c r="BE421" s="331"/>
      <c r="BF421" s="331"/>
      <c r="BG421" s="331"/>
      <c r="BH421" s="331"/>
      <c r="BI421" s="331"/>
      <c r="BJ421" s="331"/>
      <c r="BK421" s="331"/>
      <c r="BL421" s="331"/>
      <c r="BM421" s="331"/>
      <c r="BN421" s="331"/>
      <c r="BO421" s="331"/>
      <c r="BP421" s="331"/>
      <c r="BQ421" s="331"/>
      <c r="BR421" s="331"/>
      <c r="BS421" s="331"/>
      <c r="BT421" s="331"/>
      <c r="BU421" s="331"/>
      <c r="BV421" s="331"/>
      <c r="BW421" s="331"/>
      <c r="BX421" s="331"/>
      <c r="BY421" s="331"/>
      <c r="BZ421" s="331"/>
      <c r="CA421" s="331"/>
      <c r="CB421" s="331"/>
      <c r="CC421" s="331"/>
      <c r="CD421" s="331"/>
      <c r="CE421" s="331"/>
      <c r="CF421" s="331"/>
      <c r="CG421" s="331"/>
      <c r="CH421" s="331"/>
      <c r="CI421" s="331"/>
      <c r="CJ421" s="331"/>
      <c r="CK421" s="331"/>
      <c r="CL421" s="331"/>
      <c r="CM421" s="331"/>
      <c r="CN421" s="331"/>
      <c r="CO421" s="331"/>
      <c r="CP421" s="331"/>
      <c r="CQ421" s="331"/>
      <c r="CR421" s="331"/>
      <c r="CS421" s="331"/>
      <c r="CT421" s="331"/>
      <c r="CU421" s="331"/>
      <c r="CV421" s="331"/>
      <c r="CW421" s="331"/>
      <c r="CX421" s="331"/>
      <c r="CY421" s="331"/>
      <c r="CZ421" s="331"/>
      <c r="DA421" s="331"/>
      <c r="DB421" s="331"/>
      <c r="DC421" s="331"/>
      <c r="DD421" s="331"/>
      <c r="DE421" s="331"/>
      <c r="DF421" s="331"/>
      <c r="DG421" s="331"/>
      <c r="DH421" s="331"/>
      <c r="DI421" s="331"/>
      <c r="DJ421" s="331"/>
      <c r="DK421" s="331"/>
      <c r="DL421" s="331"/>
      <c r="DM421" s="331"/>
      <c r="DN421" s="331"/>
      <c r="DO421" s="331"/>
      <c r="DP421" s="331"/>
      <c r="DQ421" s="331"/>
      <c r="DR421" s="331"/>
      <c r="DS421" s="331"/>
      <c r="DT421" s="331"/>
      <c r="DU421" s="331"/>
      <c r="DV421" s="331"/>
      <c r="DW421" s="331"/>
      <c r="DX421" s="331"/>
      <c r="DY421" s="331"/>
    </row>
    <row r="422" spans="1:129" s="332" customFormat="1" ht="114.75" x14ac:dyDescent="0.25">
      <c r="A422" s="259">
        <v>318</v>
      </c>
      <c r="B422" s="325" t="s">
        <v>791</v>
      </c>
      <c r="C422" s="259"/>
      <c r="D422" s="325"/>
      <c r="E422" s="259">
        <v>1</v>
      </c>
      <c r="F422" s="325" t="s">
        <v>112</v>
      </c>
      <c r="G422" s="259">
        <v>19</v>
      </c>
      <c r="H422" s="385" t="s">
        <v>195</v>
      </c>
      <c r="I422" s="259">
        <v>1905</v>
      </c>
      <c r="J422" s="325" t="s">
        <v>683</v>
      </c>
      <c r="K422" s="259">
        <v>1905028</v>
      </c>
      <c r="L422" s="325" t="s">
        <v>963</v>
      </c>
      <c r="M422" s="259">
        <v>190502800</v>
      </c>
      <c r="N422" s="325" t="s">
        <v>849</v>
      </c>
      <c r="O422" s="272" t="s">
        <v>26</v>
      </c>
      <c r="P422" s="280">
        <v>12</v>
      </c>
      <c r="Q422" s="280">
        <v>3</v>
      </c>
      <c r="R422" s="281">
        <v>2024003630099</v>
      </c>
      <c r="S422" s="385" t="s">
        <v>960</v>
      </c>
      <c r="T422" s="328"/>
      <c r="U422" s="328"/>
      <c r="V422" s="328"/>
      <c r="W422" s="328"/>
      <c r="X422" s="328"/>
      <c r="Y422" s="328"/>
      <c r="Z422" s="328">
        <v>45800000</v>
      </c>
      <c r="AA422" s="328">
        <f>43316666-AA423</f>
        <v>42316666</v>
      </c>
      <c r="AB422" s="328">
        <v>18500000</v>
      </c>
      <c r="AC422" s="328"/>
      <c r="AD422" s="328"/>
      <c r="AE422" s="328"/>
      <c r="AF422" s="328"/>
      <c r="AG422" s="328"/>
      <c r="AH422" s="328"/>
      <c r="AI422" s="328"/>
      <c r="AJ422" s="328"/>
      <c r="AK422" s="328"/>
      <c r="AL422" s="404"/>
      <c r="AM422" s="404"/>
      <c r="AN422" s="404"/>
      <c r="AO422" s="328"/>
      <c r="AP422" s="328"/>
      <c r="AQ422" s="328"/>
      <c r="AR422" s="328"/>
      <c r="AS422" s="328"/>
      <c r="AT422" s="328"/>
      <c r="AU422" s="328">
        <f t="shared" si="26"/>
        <v>45800000</v>
      </c>
      <c r="AV422" s="328">
        <f t="shared" si="24"/>
        <v>42316666</v>
      </c>
      <c r="AW422" s="328">
        <f t="shared" si="25"/>
        <v>18500000</v>
      </c>
      <c r="AX422" s="330" t="s">
        <v>795</v>
      </c>
      <c r="AY422" s="331"/>
      <c r="AZ422" s="331"/>
      <c r="BA422" s="331"/>
      <c r="BB422" s="331"/>
      <c r="BC422" s="331"/>
      <c r="BD422" s="331"/>
      <c r="BE422" s="331"/>
      <c r="BF422" s="331"/>
      <c r="BG422" s="331"/>
      <c r="BH422" s="331"/>
      <c r="BI422" s="331"/>
      <c r="BJ422" s="331"/>
      <c r="BK422" s="331"/>
      <c r="BL422" s="331"/>
      <c r="BM422" s="331"/>
      <c r="BN422" s="331"/>
      <c r="BO422" s="331"/>
      <c r="BP422" s="331"/>
      <c r="BQ422" s="331"/>
      <c r="BR422" s="331"/>
      <c r="BS422" s="331"/>
      <c r="BT422" s="331"/>
      <c r="BU422" s="331"/>
      <c r="BV422" s="331"/>
      <c r="BW422" s="331"/>
      <c r="BX422" s="331"/>
      <c r="BY422" s="331"/>
      <c r="BZ422" s="331"/>
      <c r="CA422" s="331"/>
      <c r="CB422" s="331"/>
      <c r="CC422" s="331"/>
      <c r="CD422" s="331"/>
      <c r="CE422" s="331"/>
      <c r="CF422" s="331"/>
      <c r="CG422" s="331"/>
      <c r="CH422" s="331"/>
      <c r="CI422" s="331"/>
      <c r="CJ422" s="331"/>
      <c r="CK422" s="331"/>
      <c r="CL422" s="331"/>
      <c r="CM422" s="331"/>
      <c r="CN422" s="331"/>
      <c r="CO422" s="331"/>
      <c r="CP422" s="331"/>
      <c r="CQ422" s="331"/>
      <c r="CR422" s="331"/>
      <c r="CS422" s="331"/>
      <c r="CT422" s="331"/>
      <c r="CU422" s="331"/>
      <c r="CV422" s="331"/>
      <c r="CW422" s="331"/>
      <c r="CX422" s="331"/>
      <c r="CY422" s="331"/>
      <c r="CZ422" s="331"/>
      <c r="DA422" s="331"/>
      <c r="DB422" s="331"/>
      <c r="DC422" s="331"/>
      <c r="DD422" s="331"/>
      <c r="DE422" s="331"/>
      <c r="DF422" s="331"/>
      <c r="DG422" s="331"/>
      <c r="DH422" s="331"/>
      <c r="DI422" s="331"/>
      <c r="DJ422" s="331"/>
      <c r="DK422" s="331"/>
      <c r="DL422" s="331"/>
      <c r="DM422" s="331"/>
      <c r="DN422" s="331"/>
      <c r="DO422" s="331"/>
      <c r="DP422" s="331"/>
      <c r="DQ422" s="331"/>
      <c r="DR422" s="331"/>
      <c r="DS422" s="331"/>
      <c r="DT422" s="331"/>
      <c r="DU422" s="331"/>
      <c r="DV422" s="331"/>
      <c r="DW422" s="331"/>
      <c r="DX422" s="331"/>
      <c r="DY422" s="331"/>
    </row>
    <row r="423" spans="1:129" s="332" customFormat="1" ht="102" x14ac:dyDescent="0.25">
      <c r="A423" s="259">
        <v>318</v>
      </c>
      <c r="B423" s="325" t="s">
        <v>791</v>
      </c>
      <c r="C423" s="259"/>
      <c r="D423" s="325"/>
      <c r="E423" s="259">
        <v>1</v>
      </c>
      <c r="F423" s="325" t="s">
        <v>112</v>
      </c>
      <c r="G423" s="259">
        <v>19</v>
      </c>
      <c r="H423" s="385" t="s">
        <v>195</v>
      </c>
      <c r="I423" s="259">
        <v>1905</v>
      </c>
      <c r="J423" s="325" t="s">
        <v>683</v>
      </c>
      <c r="K423" s="259">
        <v>1905028</v>
      </c>
      <c r="L423" s="325" t="s">
        <v>963</v>
      </c>
      <c r="M423" s="259">
        <v>190502802</v>
      </c>
      <c r="N423" s="325" t="s">
        <v>964</v>
      </c>
      <c r="O423" s="272" t="s">
        <v>26</v>
      </c>
      <c r="P423" s="280">
        <v>12</v>
      </c>
      <c r="Q423" s="280">
        <v>5</v>
      </c>
      <c r="R423" s="281">
        <v>2024003630099</v>
      </c>
      <c r="S423" s="385" t="s">
        <v>960</v>
      </c>
      <c r="T423" s="328"/>
      <c r="U423" s="328"/>
      <c r="V423" s="328"/>
      <c r="W423" s="328"/>
      <c r="X423" s="328"/>
      <c r="Y423" s="328"/>
      <c r="Z423" s="328">
        <v>40000000</v>
      </c>
      <c r="AA423" s="328">
        <v>1000000</v>
      </c>
      <c r="AB423" s="328"/>
      <c r="AC423" s="328"/>
      <c r="AD423" s="328"/>
      <c r="AE423" s="328"/>
      <c r="AF423" s="328"/>
      <c r="AG423" s="328"/>
      <c r="AH423" s="328"/>
      <c r="AI423" s="328"/>
      <c r="AJ423" s="328"/>
      <c r="AK423" s="328"/>
      <c r="AL423" s="404"/>
      <c r="AM423" s="404"/>
      <c r="AN423" s="404"/>
      <c r="AO423" s="328"/>
      <c r="AP423" s="328"/>
      <c r="AQ423" s="328"/>
      <c r="AR423" s="328"/>
      <c r="AS423" s="328"/>
      <c r="AT423" s="328"/>
      <c r="AU423" s="328">
        <f t="shared" si="26"/>
        <v>40000000</v>
      </c>
      <c r="AV423" s="328">
        <f t="shared" si="24"/>
        <v>1000000</v>
      </c>
      <c r="AW423" s="328">
        <f t="shared" si="25"/>
        <v>0</v>
      </c>
      <c r="AX423" s="330" t="s">
        <v>795</v>
      </c>
      <c r="AY423" s="331"/>
      <c r="AZ423" s="331"/>
      <c r="BA423" s="331"/>
      <c r="BB423" s="331"/>
      <c r="BC423" s="331"/>
      <c r="BD423" s="331"/>
      <c r="BE423" s="331"/>
      <c r="BF423" s="331"/>
      <c r="BG423" s="331"/>
      <c r="BH423" s="331"/>
      <c r="BI423" s="331"/>
      <c r="BJ423" s="331"/>
      <c r="BK423" s="331"/>
      <c r="BL423" s="331"/>
      <c r="BM423" s="331"/>
      <c r="BN423" s="331"/>
      <c r="BO423" s="331"/>
      <c r="BP423" s="331"/>
      <c r="BQ423" s="331"/>
      <c r="BR423" s="331"/>
      <c r="BS423" s="331"/>
      <c r="BT423" s="331"/>
      <c r="BU423" s="331"/>
      <c r="BV423" s="331"/>
      <c r="BW423" s="331"/>
      <c r="BX423" s="331"/>
      <c r="BY423" s="331"/>
      <c r="BZ423" s="331"/>
      <c r="CA423" s="331"/>
      <c r="CB423" s="331"/>
      <c r="CC423" s="331"/>
      <c r="CD423" s="331"/>
      <c r="CE423" s="331"/>
      <c r="CF423" s="331"/>
      <c r="CG423" s="331"/>
      <c r="CH423" s="331"/>
      <c r="CI423" s="331"/>
      <c r="CJ423" s="331"/>
      <c r="CK423" s="331"/>
      <c r="CL423" s="331"/>
      <c r="CM423" s="331"/>
      <c r="CN423" s="331"/>
      <c r="CO423" s="331"/>
      <c r="CP423" s="331"/>
      <c r="CQ423" s="331"/>
      <c r="CR423" s="331"/>
      <c r="CS423" s="331"/>
      <c r="CT423" s="331"/>
      <c r="CU423" s="331"/>
      <c r="CV423" s="331"/>
      <c r="CW423" s="331"/>
      <c r="CX423" s="331"/>
      <c r="CY423" s="331"/>
      <c r="CZ423" s="331"/>
      <c r="DA423" s="331"/>
      <c r="DB423" s="331"/>
      <c r="DC423" s="331"/>
      <c r="DD423" s="331"/>
      <c r="DE423" s="331"/>
      <c r="DF423" s="331"/>
      <c r="DG423" s="331"/>
      <c r="DH423" s="331"/>
      <c r="DI423" s="331"/>
      <c r="DJ423" s="331"/>
      <c r="DK423" s="331"/>
      <c r="DL423" s="331"/>
      <c r="DM423" s="331"/>
      <c r="DN423" s="331"/>
      <c r="DO423" s="331"/>
      <c r="DP423" s="331"/>
      <c r="DQ423" s="331"/>
      <c r="DR423" s="331"/>
      <c r="DS423" s="331"/>
      <c r="DT423" s="331"/>
      <c r="DU423" s="331"/>
      <c r="DV423" s="331"/>
      <c r="DW423" s="331"/>
      <c r="DX423" s="331"/>
      <c r="DY423" s="331"/>
    </row>
    <row r="424" spans="1:129" s="332" customFormat="1" ht="63.75" x14ac:dyDescent="0.25">
      <c r="A424" s="259">
        <v>318</v>
      </c>
      <c r="B424" s="325" t="s">
        <v>791</v>
      </c>
      <c r="C424" s="259"/>
      <c r="D424" s="325"/>
      <c r="E424" s="259">
        <v>1</v>
      </c>
      <c r="F424" s="325" t="s">
        <v>112</v>
      </c>
      <c r="G424" s="259">
        <v>19</v>
      </c>
      <c r="H424" s="385" t="s">
        <v>195</v>
      </c>
      <c r="I424" s="259">
        <v>1905</v>
      </c>
      <c r="J424" s="325" t="s">
        <v>683</v>
      </c>
      <c r="K424" s="281">
        <v>1905030</v>
      </c>
      <c r="L424" s="385" t="s">
        <v>965</v>
      </c>
      <c r="M424" s="285">
        <v>190503000</v>
      </c>
      <c r="N424" s="385" t="s">
        <v>857</v>
      </c>
      <c r="O424" s="272" t="s">
        <v>67</v>
      </c>
      <c r="P424" s="280">
        <v>25</v>
      </c>
      <c r="Q424" s="280">
        <v>0</v>
      </c>
      <c r="R424" s="281">
        <v>2024003630099</v>
      </c>
      <c r="S424" s="385" t="s">
        <v>960</v>
      </c>
      <c r="T424" s="328"/>
      <c r="U424" s="328"/>
      <c r="V424" s="328"/>
      <c r="W424" s="328"/>
      <c r="X424" s="328"/>
      <c r="Y424" s="328"/>
      <c r="Z424" s="328">
        <v>19700000</v>
      </c>
      <c r="AA424" s="328">
        <v>5833333</v>
      </c>
      <c r="AB424" s="328"/>
      <c r="AC424" s="328"/>
      <c r="AD424" s="328"/>
      <c r="AE424" s="328"/>
      <c r="AF424" s="328"/>
      <c r="AG424" s="328"/>
      <c r="AH424" s="328"/>
      <c r="AI424" s="328"/>
      <c r="AJ424" s="328"/>
      <c r="AK424" s="328"/>
      <c r="AL424" s="404"/>
      <c r="AM424" s="404"/>
      <c r="AN424" s="404"/>
      <c r="AO424" s="328"/>
      <c r="AP424" s="328"/>
      <c r="AQ424" s="328"/>
      <c r="AR424" s="328"/>
      <c r="AS424" s="328"/>
      <c r="AT424" s="328"/>
      <c r="AU424" s="328">
        <f t="shared" si="26"/>
        <v>19700000</v>
      </c>
      <c r="AV424" s="328">
        <f t="shared" si="24"/>
        <v>5833333</v>
      </c>
      <c r="AW424" s="328">
        <f t="shared" si="25"/>
        <v>0</v>
      </c>
      <c r="AX424" s="330" t="s">
        <v>795</v>
      </c>
      <c r="AY424" s="331"/>
      <c r="AZ424" s="331"/>
      <c r="BA424" s="331"/>
      <c r="BB424" s="331"/>
      <c r="BC424" s="331"/>
      <c r="BD424" s="331"/>
      <c r="BE424" s="331"/>
      <c r="BF424" s="331"/>
      <c r="BG424" s="331"/>
      <c r="BH424" s="331"/>
      <c r="BI424" s="331"/>
      <c r="BJ424" s="331"/>
      <c r="BK424" s="331"/>
      <c r="BL424" s="331"/>
      <c r="BM424" s="331"/>
      <c r="BN424" s="331"/>
      <c r="BO424" s="331"/>
      <c r="BP424" s="331"/>
      <c r="BQ424" s="331"/>
      <c r="BR424" s="331"/>
      <c r="BS424" s="331"/>
      <c r="BT424" s="331"/>
      <c r="BU424" s="331"/>
      <c r="BV424" s="331"/>
      <c r="BW424" s="331"/>
      <c r="BX424" s="331"/>
      <c r="BY424" s="331"/>
      <c r="BZ424" s="331"/>
      <c r="CA424" s="331"/>
      <c r="CB424" s="331"/>
      <c r="CC424" s="331"/>
      <c r="CD424" s="331"/>
      <c r="CE424" s="331"/>
      <c r="CF424" s="331"/>
      <c r="CG424" s="331"/>
      <c r="CH424" s="331"/>
      <c r="CI424" s="331"/>
      <c r="CJ424" s="331"/>
      <c r="CK424" s="331"/>
      <c r="CL424" s="331"/>
      <c r="CM424" s="331"/>
      <c r="CN424" s="331"/>
      <c r="CO424" s="331"/>
      <c r="CP424" s="331"/>
      <c r="CQ424" s="331"/>
      <c r="CR424" s="331"/>
      <c r="CS424" s="331"/>
      <c r="CT424" s="331"/>
      <c r="CU424" s="331"/>
      <c r="CV424" s="331"/>
      <c r="CW424" s="331"/>
      <c r="CX424" s="331"/>
      <c r="CY424" s="331"/>
      <c r="CZ424" s="331"/>
      <c r="DA424" s="331"/>
      <c r="DB424" s="331"/>
      <c r="DC424" s="331"/>
      <c r="DD424" s="331"/>
      <c r="DE424" s="331"/>
      <c r="DF424" s="331"/>
      <c r="DG424" s="331"/>
      <c r="DH424" s="331"/>
      <c r="DI424" s="331"/>
      <c r="DJ424" s="331"/>
      <c r="DK424" s="331"/>
      <c r="DL424" s="331"/>
      <c r="DM424" s="331"/>
      <c r="DN424" s="331"/>
      <c r="DO424" s="331"/>
      <c r="DP424" s="331"/>
      <c r="DQ424" s="331"/>
      <c r="DR424" s="331"/>
      <c r="DS424" s="331"/>
      <c r="DT424" s="331"/>
      <c r="DU424" s="331"/>
      <c r="DV424" s="331"/>
      <c r="DW424" s="331"/>
      <c r="DX424" s="331"/>
      <c r="DY424" s="331"/>
    </row>
    <row r="425" spans="1:129" s="332" customFormat="1" ht="102" x14ac:dyDescent="0.25">
      <c r="A425" s="259">
        <v>318</v>
      </c>
      <c r="B425" s="325" t="s">
        <v>791</v>
      </c>
      <c r="C425" s="259"/>
      <c r="D425" s="325"/>
      <c r="E425" s="259">
        <v>1</v>
      </c>
      <c r="F425" s="325" t="s">
        <v>112</v>
      </c>
      <c r="G425" s="259">
        <v>19</v>
      </c>
      <c r="H425" s="385" t="s">
        <v>195</v>
      </c>
      <c r="I425" s="259">
        <v>1905</v>
      </c>
      <c r="J425" s="325" t="s">
        <v>683</v>
      </c>
      <c r="K425" s="281">
        <v>1905031</v>
      </c>
      <c r="L425" s="385" t="s">
        <v>918</v>
      </c>
      <c r="M425" s="285">
        <v>190503100</v>
      </c>
      <c r="N425" s="385" t="s">
        <v>919</v>
      </c>
      <c r="O425" s="272" t="s">
        <v>26</v>
      </c>
      <c r="P425" s="280">
        <v>12</v>
      </c>
      <c r="Q425" s="280">
        <v>7</v>
      </c>
      <c r="R425" s="281">
        <v>2024003630099</v>
      </c>
      <c r="S425" s="385" t="s">
        <v>960</v>
      </c>
      <c r="T425" s="328"/>
      <c r="U425" s="328"/>
      <c r="V425" s="328"/>
      <c r="W425" s="328"/>
      <c r="X425" s="328"/>
      <c r="Y425" s="328"/>
      <c r="Z425" s="328">
        <v>137200000</v>
      </c>
      <c r="AA425" s="328">
        <v>46699999</v>
      </c>
      <c r="AB425" s="328">
        <v>29600000</v>
      </c>
      <c r="AC425" s="328"/>
      <c r="AD425" s="328"/>
      <c r="AE425" s="328"/>
      <c r="AF425" s="328"/>
      <c r="AG425" s="328"/>
      <c r="AH425" s="328"/>
      <c r="AI425" s="328"/>
      <c r="AJ425" s="328"/>
      <c r="AK425" s="328"/>
      <c r="AL425" s="328">
        <f>146754772-137200000</f>
        <v>9554772</v>
      </c>
      <c r="AM425" s="328">
        <v>9000000</v>
      </c>
      <c r="AN425" s="328">
        <v>5300000</v>
      </c>
      <c r="AO425" s="328"/>
      <c r="AP425" s="328"/>
      <c r="AQ425" s="328"/>
      <c r="AR425" s="328"/>
      <c r="AS425" s="328"/>
      <c r="AT425" s="328"/>
      <c r="AU425" s="328">
        <f t="shared" si="26"/>
        <v>146754772</v>
      </c>
      <c r="AV425" s="328">
        <f t="shared" si="24"/>
        <v>55699999</v>
      </c>
      <c r="AW425" s="328">
        <f t="shared" si="25"/>
        <v>34900000</v>
      </c>
      <c r="AX425" s="330" t="s">
        <v>795</v>
      </c>
      <c r="AY425" s="331"/>
      <c r="AZ425" s="331"/>
      <c r="BA425" s="331"/>
      <c r="BB425" s="331"/>
      <c r="BC425" s="331"/>
      <c r="BD425" s="331"/>
      <c r="BE425" s="331"/>
      <c r="BF425" s="331"/>
      <c r="BG425" s="331"/>
      <c r="BH425" s="331"/>
      <c r="BI425" s="331"/>
      <c r="BJ425" s="331"/>
      <c r="BK425" s="331"/>
      <c r="BL425" s="331"/>
      <c r="BM425" s="331"/>
      <c r="BN425" s="331"/>
      <c r="BO425" s="331"/>
      <c r="BP425" s="331"/>
      <c r="BQ425" s="331"/>
      <c r="BR425" s="331"/>
      <c r="BS425" s="331"/>
      <c r="BT425" s="331"/>
      <c r="BU425" s="331"/>
      <c r="BV425" s="331"/>
      <c r="BW425" s="331"/>
      <c r="BX425" s="331"/>
      <c r="BY425" s="331"/>
      <c r="BZ425" s="331"/>
      <c r="CA425" s="331"/>
      <c r="CB425" s="331"/>
      <c r="CC425" s="331"/>
      <c r="CD425" s="331"/>
      <c r="CE425" s="331"/>
      <c r="CF425" s="331"/>
      <c r="CG425" s="331"/>
      <c r="CH425" s="331"/>
      <c r="CI425" s="331"/>
      <c r="CJ425" s="331"/>
      <c r="CK425" s="331"/>
      <c r="CL425" s="331"/>
      <c r="CM425" s="331"/>
      <c r="CN425" s="331"/>
      <c r="CO425" s="331"/>
      <c r="CP425" s="331"/>
      <c r="CQ425" s="331"/>
      <c r="CR425" s="331"/>
      <c r="CS425" s="331"/>
      <c r="CT425" s="331"/>
      <c r="CU425" s="331"/>
      <c r="CV425" s="331"/>
      <c r="CW425" s="331"/>
      <c r="CX425" s="331"/>
      <c r="CY425" s="331"/>
      <c r="CZ425" s="331"/>
      <c r="DA425" s="331"/>
      <c r="DB425" s="331"/>
      <c r="DC425" s="331"/>
      <c r="DD425" s="331"/>
      <c r="DE425" s="331"/>
      <c r="DF425" s="331"/>
      <c r="DG425" s="331"/>
      <c r="DH425" s="331"/>
      <c r="DI425" s="331"/>
      <c r="DJ425" s="331"/>
      <c r="DK425" s="331"/>
      <c r="DL425" s="331"/>
      <c r="DM425" s="331"/>
      <c r="DN425" s="331"/>
      <c r="DO425" s="331"/>
      <c r="DP425" s="331"/>
      <c r="DQ425" s="331"/>
      <c r="DR425" s="331"/>
      <c r="DS425" s="331"/>
      <c r="DT425" s="331"/>
      <c r="DU425" s="331"/>
      <c r="DV425" s="331"/>
      <c r="DW425" s="331"/>
      <c r="DX425" s="331"/>
      <c r="DY425" s="331"/>
    </row>
    <row r="426" spans="1:129" s="332" customFormat="1" ht="63.75" x14ac:dyDescent="0.25">
      <c r="A426" s="259">
        <v>318</v>
      </c>
      <c r="B426" s="325" t="s">
        <v>791</v>
      </c>
      <c r="C426" s="259"/>
      <c r="D426" s="325"/>
      <c r="E426" s="259">
        <v>1</v>
      </c>
      <c r="F426" s="325" t="s">
        <v>112</v>
      </c>
      <c r="G426" s="259">
        <v>19</v>
      </c>
      <c r="H426" s="385" t="s">
        <v>195</v>
      </c>
      <c r="I426" s="259">
        <v>1905</v>
      </c>
      <c r="J426" s="325" t="s">
        <v>683</v>
      </c>
      <c r="K426" s="281">
        <v>1905041</v>
      </c>
      <c r="L426" s="385" t="s">
        <v>966</v>
      </c>
      <c r="M426" s="281">
        <v>190504100</v>
      </c>
      <c r="N426" s="385" t="s">
        <v>967</v>
      </c>
      <c r="O426" s="272" t="s">
        <v>67</v>
      </c>
      <c r="P426" s="280">
        <v>144</v>
      </c>
      <c r="Q426" s="280">
        <v>0</v>
      </c>
      <c r="R426" s="281">
        <v>2024003630099</v>
      </c>
      <c r="S426" s="385" t="s">
        <v>960</v>
      </c>
      <c r="T426" s="328"/>
      <c r="U426" s="328"/>
      <c r="V426" s="328"/>
      <c r="W426" s="328"/>
      <c r="X426" s="328"/>
      <c r="Y426" s="328"/>
      <c r="Z426" s="328">
        <v>80000000</v>
      </c>
      <c r="AA426" s="328">
        <v>65366664</v>
      </c>
      <c r="AB426" s="328">
        <v>29600000</v>
      </c>
      <c r="AC426" s="328"/>
      <c r="AD426" s="328"/>
      <c r="AE426" s="328"/>
      <c r="AF426" s="328"/>
      <c r="AG426" s="328"/>
      <c r="AH426" s="328"/>
      <c r="AI426" s="328"/>
      <c r="AJ426" s="328"/>
      <c r="AK426" s="328"/>
      <c r="AL426" s="404"/>
      <c r="AM426" s="404"/>
      <c r="AN426" s="404"/>
      <c r="AO426" s="328"/>
      <c r="AP426" s="328"/>
      <c r="AQ426" s="328"/>
      <c r="AR426" s="328"/>
      <c r="AS426" s="328"/>
      <c r="AT426" s="328"/>
      <c r="AU426" s="328">
        <f t="shared" si="26"/>
        <v>80000000</v>
      </c>
      <c r="AV426" s="328">
        <f t="shared" si="24"/>
        <v>65366664</v>
      </c>
      <c r="AW426" s="328">
        <f t="shared" si="25"/>
        <v>29600000</v>
      </c>
      <c r="AX426" s="330" t="s">
        <v>795</v>
      </c>
      <c r="AY426" s="331"/>
      <c r="AZ426" s="331"/>
      <c r="BA426" s="331"/>
      <c r="BB426" s="331"/>
      <c r="BC426" s="331"/>
      <c r="BD426" s="331"/>
      <c r="BE426" s="331"/>
      <c r="BF426" s="331"/>
      <c r="BG426" s="331"/>
      <c r="BH426" s="331"/>
      <c r="BI426" s="331"/>
      <c r="BJ426" s="331"/>
      <c r="BK426" s="331"/>
      <c r="BL426" s="331"/>
      <c r="BM426" s="331"/>
      <c r="BN426" s="331"/>
      <c r="BO426" s="331"/>
      <c r="BP426" s="331"/>
      <c r="BQ426" s="331"/>
      <c r="BR426" s="331"/>
      <c r="BS426" s="331"/>
      <c r="BT426" s="331"/>
      <c r="BU426" s="331"/>
      <c r="BV426" s="331"/>
      <c r="BW426" s="331"/>
      <c r="BX426" s="331"/>
      <c r="BY426" s="331"/>
      <c r="BZ426" s="331"/>
      <c r="CA426" s="331"/>
      <c r="CB426" s="331"/>
      <c r="CC426" s="331"/>
      <c r="CD426" s="331"/>
      <c r="CE426" s="331"/>
      <c r="CF426" s="331"/>
      <c r="CG426" s="331"/>
      <c r="CH426" s="331"/>
      <c r="CI426" s="331"/>
      <c r="CJ426" s="331"/>
      <c r="CK426" s="331"/>
      <c r="CL426" s="331"/>
      <c r="CM426" s="331"/>
      <c r="CN426" s="331"/>
      <c r="CO426" s="331"/>
      <c r="CP426" s="331"/>
      <c r="CQ426" s="331"/>
      <c r="CR426" s="331"/>
      <c r="CS426" s="331"/>
      <c r="CT426" s="331"/>
      <c r="CU426" s="331"/>
      <c r="CV426" s="331"/>
      <c r="CW426" s="331"/>
      <c r="CX426" s="331"/>
      <c r="CY426" s="331"/>
      <c r="CZ426" s="331"/>
      <c r="DA426" s="331"/>
      <c r="DB426" s="331"/>
      <c r="DC426" s="331"/>
      <c r="DD426" s="331"/>
      <c r="DE426" s="331"/>
      <c r="DF426" s="331"/>
      <c r="DG426" s="331"/>
      <c r="DH426" s="331"/>
      <c r="DI426" s="331"/>
      <c r="DJ426" s="331"/>
      <c r="DK426" s="331"/>
      <c r="DL426" s="331"/>
      <c r="DM426" s="331"/>
      <c r="DN426" s="331"/>
      <c r="DO426" s="331"/>
      <c r="DP426" s="331"/>
      <c r="DQ426" s="331"/>
      <c r="DR426" s="331"/>
      <c r="DS426" s="331"/>
      <c r="DT426" s="331"/>
      <c r="DU426" s="331"/>
      <c r="DV426" s="331"/>
      <c r="DW426" s="331"/>
      <c r="DX426" s="331"/>
      <c r="DY426" s="331"/>
    </row>
    <row r="427" spans="1:129" s="332" customFormat="1" ht="38.25" x14ac:dyDescent="0.25">
      <c r="A427" s="259">
        <v>318</v>
      </c>
      <c r="B427" s="325" t="s">
        <v>791</v>
      </c>
      <c r="C427" s="259"/>
      <c r="D427" s="325"/>
      <c r="E427" s="259">
        <v>1</v>
      </c>
      <c r="F427" s="325" t="s">
        <v>112</v>
      </c>
      <c r="G427" s="259">
        <v>19</v>
      </c>
      <c r="H427" s="385" t="s">
        <v>195</v>
      </c>
      <c r="I427" s="259">
        <v>1905</v>
      </c>
      <c r="J427" s="325" t="s">
        <v>683</v>
      </c>
      <c r="K427" s="281">
        <v>1905050</v>
      </c>
      <c r="L427" s="385" t="s">
        <v>69</v>
      </c>
      <c r="M427" s="285">
        <v>190505001</v>
      </c>
      <c r="N427" s="385" t="s">
        <v>968</v>
      </c>
      <c r="O427" s="272" t="s">
        <v>26</v>
      </c>
      <c r="P427" s="280">
        <v>24</v>
      </c>
      <c r="Q427" s="280">
        <v>0</v>
      </c>
      <c r="R427" s="281">
        <v>2024003630099</v>
      </c>
      <c r="S427" s="385" t="s">
        <v>960</v>
      </c>
      <c r="T427" s="328"/>
      <c r="U427" s="328"/>
      <c r="V427" s="328"/>
      <c r="W427" s="328"/>
      <c r="X427" s="328"/>
      <c r="Y427" s="328"/>
      <c r="Z427" s="328">
        <v>30000000</v>
      </c>
      <c r="AA427" s="328">
        <v>15416666</v>
      </c>
      <c r="AB427" s="328">
        <v>3700000</v>
      </c>
      <c r="AC427" s="328"/>
      <c r="AD427" s="328"/>
      <c r="AE427" s="328"/>
      <c r="AF427" s="328"/>
      <c r="AG427" s="328"/>
      <c r="AH427" s="328"/>
      <c r="AI427" s="328"/>
      <c r="AJ427" s="328"/>
      <c r="AK427" s="328"/>
      <c r="AL427" s="404"/>
      <c r="AM427" s="404"/>
      <c r="AN427" s="404"/>
      <c r="AO427" s="328"/>
      <c r="AP427" s="328"/>
      <c r="AQ427" s="328"/>
      <c r="AR427" s="328"/>
      <c r="AS427" s="328"/>
      <c r="AT427" s="328"/>
      <c r="AU427" s="467">
        <f t="shared" si="26"/>
        <v>30000000</v>
      </c>
      <c r="AV427" s="467">
        <f t="shared" si="24"/>
        <v>15416666</v>
      </c>
      <c r="AW427" s="467">
        <f t="shared" si="25"/>
        <v>3700000</v>
      </c>
      <c r="AX427" s="330" t="s">
        <v>795</v>
      </c>
      <c r="AY427" s="331"/>
      <c r="AZ427" s="331"/>
      <c r="BA427" s="331"/>
      <c r="BB427" s="331"/>
      <c r="BC427" s="331"/>
      <c r="BD427" s="331"/>
      <c r="BE427" s="331"/>
      <c r="BF427" s="331"/>
      <c r="BG427" s="331"/>
      <c r="BH427" s="331"/>
      <c r="BI427" s="331"/>
      <c r="BJ427" s="331"/>
      <c r="BK427" s="331"/>
      <c r="BL427" s="331"/>
      <c r="BM427" s="331"/>
      <c r="BN427" s="331"/>
      <c r="BO427" s="331"/>
      <c r="BP427" s="331"/>
      <c r="BQ427" s="331"/>
      <c r="BR427" s="331"/>
      <c r="BS427" s="331"/>
      <c r="BT427" s="331"/>
      <c r="BU427" s="331"/>
      <c r="BV427" s="331"/>
      <c r="BW427" s="331"/>
      <c r="BX427" s="331"/>
      <c r="BY427" s="331"/>
      <c r="BZ427" s="331"/>
      <c r="CA427" s="331"/>
      <c r="CB427" s="331"/>
      <c r="CC427" s="331"/>
      <c r="CD427" s="331"/>
      <c r="CE427" s="331"/>
      <c r="CF427" s="331"/>
      <c r="CG427" s="331"/>
      <c r="CH427" s="331"/>
      <c r="CI427" s="331"/>
      <c r="CJ427" s="331"/>
      <c r="CK427" s="331"/>
      <c r="CL427" s="331"/>
      <c r="CM427" s="331"/>
      <c r="CN427" s="331"/>
      <c r="CO427" s="331"/>
      <c r="CP427" s="331"/>
      <c r="CQ427" s="331"/>
      <c r="CR427" s="331"/>
      <c r="CS427" s="331"/>
      <c r="CT427" s="331"/>
      <c r="CU427" s="331"/>
      <c r="CV427" s="331"/>
      <c r="CW427" s="331"/>
      <c r="CX427" s="331"/>
      <c r="CY427" s="331"/>
      <c r="CZ427" s="331"/>
      <c r="DA427" s="331"/>
      <c r="DB427" s="331"/>
      <c r="DC427" s="331"/>
      <c r="DD427" s="331"/>
      <c r="DE427" s="331"/>
      <c r="DF427" s="331"/>
      <c r="DG427" s="331"/>
      <c r="DH427" s="331"/>
      <c r="DI427" s="331"/>
      <c r="DJ427" s="331"/>
      <c r="DK427" s="331"/>
      <c r="DL427" s="331"/>
      <c r="DM427" s="331"/>
      <c r="DN427" s="331"/>
      <c r="DO427" s="331"/>
      <c r="DP427" s="331"/>
      <c r="DQ427" s="331"/>
      <c r="DR427" s="331"/>
      <c r="DS427" s="331"/>
      <c r="DT427" s="331"/>
      <c r="DU427" s="331"/>
      <c r="DV427" s="331"/>
      <c r="DW427" s="331"/>
      <c r="DX427" s="331"/>
      <c r="DY427" s="331"/>
    </row>
    <row r="428" spans="1:129" s="332" customFormat="1" ht="89.25" x14ac:dyDescent="0.25">
      <c r="A428" s="259">
        <v>318</v>
      </c>
      <c r="B428" s="325" t="s">
        <v>791</v>
      </c>
      <c r="C428" s="259"/>
      <c r="D428" s="325"/>
      <c r="E428" s="259">
        <v>1</v>
      </c>
      <c r="F428" s="325" t="s">
        <v>112</v>
      </c>
      <c r="G428" s="259">
        <v>19</v>
      </c>
      <c r="H428" s="385" t="s">
        <v>195</v>
      </c>
      <c r="I428" s="259">
        <v>1905</v>
      </c>
      <c r="J428" s="325" t="s">
        <v>683</v>
      </c>
      <c r="K428" s="281">
        <v>1905054</v>
      </c>
      <c r="L428" s="385" t="s">
        <v>864</v>
      </c>
      <c r="M428" s="285">
        <v>190505408</v>
      </c>
      <c r="N428" s="385" t="s">
        <v>969</v>
      </c>
      <c r="O428" s="272" t="s">
        <v>26</v>
      </c>
      <c r="P428" s="280">
        <v>11</v>
      </c>
      <c r="Q428" s="280">
        <v>11</v>
      </c>
      <c r="R428" s="281">
        <v>2024003630099</v>
      </c>
      <c r="S428" s="385" t="s">
        <v>960</v>
      </c>
      <c r="T428" s="328"/>
      <c r="U428" s="328"/>
      <c r="V428" s="328"/>
      <c r="W428" s="328"/>
      <c r="X428" s="328"/>
      <c r="Y428" s="328"/>
      <c r="Z428" s="328">
        <v>29550000</v>
      </c>
      <c r="AA428" s="328">
        <v>17200000</v>
      </c>
      <c r="AB428" s="328">
        <v>7400000</v>
      </c>
      <c r="AC428" s="328"/>
      <c r="AD428" s="328"/>
      <c r="AE428" s="328"/>
      <c r="AF428" s="328"/>
      <c r="AG428" s="328"/>
      <c r="AH428" s="328"/>
      <c r="AI428" s="328"/>
      <c r="AJ428" s="328"/>
      <c r="AK428" s="328"/>
      <c r="AL428" s="404"/>
      <c r="AM428" s="404"/>
      <c r="AN428" s="404"/>
      <c r="AO428" s="328"/>
      <c r="AP428" s="328"/>
      <c r="AQ428" s="328"/>
      <c r="AR428" s="328"/>
      <c r="AS428" s="328"/>
      <c r="AT428" s="328"/>
      <c r="AU428" s="328">
        <f t="shared" si="26"/>
        <v>29550000</v>
      </c>
      <c r="AV428" s="328">
        <f t="shared" si="24"/>
        <v>17200000</v>
      </c>
      <c r="AW428" s="328">
        <f t="shared" si="25"/>
        <v>7400000</v>
      </c>
      <c r="AX428" s="330" t="s">
        <v>795</v>
      </c>
      <c r="AY428" s="331"/>
      <c r="AZ428" s="331"/>
      <c r="BA428" s="331"/>
      <c r="BB428" s="331"/>
      <c r="BC428" s="331"/>
      <c r="BD428" s="331"/>
      <c r="BE428" s="331"/>
      <c r="BF428" s="331"/>
      <c r="BG428" s="331"/>
      <c r="BH428" s="331"/>
      <c r="BI428" s="331"/>
      <c r="BJ428" s="331"/>
      <c r="BK428" s="331"/>
      <c r="BL428" s="331"/>
      <c r="BM428" s="331"/>
      <c r="BN428" s="331"/>
      <c r="BO428" s="331"/>
      <c r="BP428" s="331"/>
      <c r="BQ428" s="331"/>
      <c r="BR428" s="331"/>
      <c r="BS428" s="331"/>
      <c r="BT428" s="331"/>
      <c r="BU428" s="331"/>
      <c r="BV428" s="331"/>
      <c r="BW428" s="331"/>
      <c r="BX428" s="331"/>
      <c r="BY428" s="331"/>
      <c r="BZ428" s="331"/>
      <c r="CA428" s="331"/>
      <c r="CB428" s="331"/>
      <c r="CC428" s="331"/>
      <c r="CD428" s="331"/>
      <c r="CE428" s="331"/>
      <c r="CF428" s="331"/>
      <c r="CG428" s="331"/>
      <c r="CH428" s="331"/>
      <c r="CI428" s="331"/>
      <c r="CJ428" s="331"/>
      <c r="CK428" s="331"/>
      <c r="CL428" s="331"/>
      <c r="CM428" s="331"/>
      <c r="CN428" s="331"/>
      <c r="CO428" s="331"/>
      <c r="CP428" s="331"/>
      <c r="CQ428" s="331"/>
      <c r="CR428" s="331"/>
      <c r="CS428" s="331"/>
      <c r="CT428" s="331"/>
      <c r="CU428" s="331"/>
      <c r="CV428" s="331"/>
      <c r="CW428" s="331"/>
      <c r="CX428" s="331"/>
      <c r="CY428" s="331"/>
      <c r="CZ428" s="331"/>
      <c r="DA428" s="331"/>
      <c r="DB428" s="331"/>
      <c r="DC428" s="331"/>
      <c r="DD428" s="331"/>
      <c r="DE428" s="331"/>
      <c r="DF428" s="331"/>
      <c r="DG428" s="331"/>
      <c r="DH428" s="331"/>
      <c r="DI428" s="331"/>
      <c r="DJ428" s="331"/>
      <c r="DK428" s="331"/>
      <c r="DL428" s="331"/>
      <c r="DM428" s="331"/>
      <c r="DN428" s="331"/>
      <c r="DO428" s="331"/>
      <c r="DP428" s="331"/>
      <c r="DQ428" s="331"/>
      <c r="DR428" s="331"/>
      <c r="DS428" s="331"/>
      <c r="DT428" s="331"/>
      <c r="DU428" s="331"/>
      <c r="DV428" s="331"/>
      <c r="DW428" s="331"/>
      <c r="DX428" s="331"/>
      <c r="DY428" s="331"/>
    </row>
    <row r="429" spans="1:129" s="332" customFormat="1" ht="114.75" x14ac:dyDescent="0.25">
      <c r="A429" s="259">
        <v>318</v>
      </c>
      <c r="B429" s="325" t="s">
        <v>791</v>
      </c>
      <c r="C429" s="259"/>
      <c r="D429" s="325"/>
      <c r="E429" s="259">
        <v>1</v>
      </c>
      <c r="F429" s="325" t="s">
        <v>112</v>
      </c>
      <c r="G429" s="259">
        <v>19</v>
      </c>
      <c r="H429" s="385" t="s">
        <v>195</v>
      </c>
      <c r="I429" s="259">
        <v>1905</v>
      </c>
      <c r="J429" s="325" t="s">
        <v>683</v>
      </c>
      <c r="K429" s="281">
        <v>1905054</v>
      </c>
      <c r="L429" s="385" t="s">
        <v>864</v>
      </c>
      <c r="M429" s="285">
        <v>190505413</v>
      </c>
      <c r="N429" s="385" t="s">
        <v>970</v>
      </c>
      <c r="O429" s="272" t="s">
        <v>26</v>
      </c>
      <c r="P429" s="280">
        <v>11</v>
      </c>
      <c r="Q429" s="280">
        <v>0</v>
      </c>
      <c r="R429" s="281">
        <v>2024003630099</v>
      </c>
      <c r="S429" s="385" t="s">
        <v>960</v>
      </c>
      <c r="T429" s="328"/>
      <c r="U429" s="328"/>
      <c r="V429" s="328"/>
      <c r="W429" s="328"/>
      <c r="X429" s="328"/>
      <c r="Y429" s="328"/>
      <c r="Z429" s="328">
        <v>40000000</v>
      </c>
      <c r="AA429" s="328"/>
      <c r="AB429" s="328"/>
      <c r="AC429" s="328"/>
      <c r="AD429" s="328"/>
      <c r="AE429" s="328"/>
      <c r="AF429" s="328"/>
      <c r="AG429" s="328"/>
      <c r="AH429" s="328"/>
      <c r="AI429" s="328"/>
      <c r="AJ429" s="328"/>
      <c r="AK429" s="328"/>
      <c r="AL429" s="404"/>
      <c r="AM429" s="404"/>
      <c r="AN429" s="404"/>
      <c r="AO429" s="328"/>
      <c r="AP429" s="328"/>
      <c r="AQ429" s="328"/>
      <c r="AR429" s="328"/>
      <c r="AS429" s="328"/>
      <c r="AT429" s="328"/>
      <c r="AU429" s="328">
        <f t="shared" si="26"/>
        <v>40000000</v>
      </c>
      <c r="AV429" s="328">
        <f t="shared" si="24"/>
        <v>0</v>
      </c>
      <c r="AW429" s="328">
        <f t="shared" si="25"/>
        <v>0</v>
      </c>
      <c r="AX429" s="330" t="s">
        <v>795</v>
      </c>
      <c r="AY429" s="331"/>
      <c r="AZ429" s="331"/>
      <c r="BA429" s="331"/>
      <c r="BB429" s="331"/>
      <c r="BC429" s="331"/>
      <c r="BD429" s="331"/>
      <c r="BE429" s="331"/>
      <c r="BF429" s="331"/>
      <c r="BG429" s="331"/>
      <c r="BH429" s="331"/>
      <c r="BI429" s="331"/>
      <c r="BJ429" s="331"/>
      <c r="BK429" s="331"/>
      <c r="BL429" s="331"/>
      <c r="BM429" s="331"/>
      <c r="BN429" s="331"/>
      <c r="BO429" s="331"/>
      <c r="BP429" s="331"/>
      <c r="BQ429" s="331"/>
      <c r="BR429" s="331"/>
      <c r="BS429" s="331"/>
      <c r="BT429" s="331"/>
      <c r="BU429" s="331"/>
      <c r="BV429" s="331"/>
      <c r="BW429" s="331"/>
      <c r="BX429" s="331"/>
      <c r="BY429" s="331"/>
      <c r="BZ429" s="331"/>
      <c r="CA429" s="331"/>
      <c r="CB429" s="331"/>
      <c r="CC429" s="331"/>
      <c r="CD429" s="331"/>
      <c r="CE429" s="331"/>
      <c r="CF429" s="331"/>
      <c r="CG429" s="331"/>
      <c r="CH429" s="331"/>
      <c r="CI429" s="331"/>
      <c r="CJ429" s="331"/>
      <c r="CK429" s="331"/>
      <c r="CL429" s="331"/>
      <c r="CM429" s="331"/>
      <c r="CN429" s="331"/>
      <c r="CO429" s="331"/>
      <c r="CP429" s="331"/>
      <c r="CQ429" s="331"/>
      <c r="CR429" s="331"/>
      <c r="CS429" s="331"/>
      <c r="CT429" s="331"/>
      <c r="CU429" s="331"/>
      <c r="CV429" s="331"/>
      <c r="CW429" s="331"/>
      <c r="CX429" s="331"/>
      <c r="CY429" s="331"/>
      <c r="CZ429" s="331"/>
      <c r="DA429" s="331"/>
      <c r="DB429" s="331"/>
      <c r="DC429" s="331"/>
      <c r="DD429" s="331"/>
      <c r="DE429" s="331"/>
      <c r="DF429" s="331"/>
      <c r="DG429" s="331"/>
      <c r="DH429" s="331"/>
      <c r="DI429" s="331"/>
      <c r="DJ429" s="331"/>
      <c r="DK429" s="331"/>
      <c r="DL429" s="331"/>
      <c r="DM429" s="331"/>
      <c r="DN429" s="331"/>
      <c r="DO429" s="331"/>
      <c r="DP429" s="331"/>
      <c r="DQ429" s="331"/>
      <c r="DR429" s="331"/>
      <c r="DS429" s="331"/>
      <c r="DT429" s="331"/>
      <c r="DU429" s="331"/>
      <c r="DV429" s="331"/>
      <c r="DW429" s="331"/>
      <c r="DX429" s="331"/>
      <c r="DY429" s="331"/>
    </row>
    <row r="430" spans="1:129" s="332" customFormat="1" ht="63.75" x14ac:dyDescent="0.25">
      <c r="A430" s="259">
        <v>318</v>
      </c>
      <c r="B430" s="325" t="s">
        <v>791</v>
      </c>
      <c r="C430" s="259"/>
      <c r="D430" s="325"/>
      <c r="E430" s="259">
        <v>1</v>
      </c>
      <c r="F430" s="325" t="s">
        <v>112</v>
      </c>
      <c r="G430" s="259">
        <v>19</v>
      </c>
      <c r="H430" s="385" t="s">
        <v>195</v>
      </c>
      <c r="I430" s="259">
        <v>1906</v>
      </c>
      <c r="J430" s="325" t="s">
        <v>924</v>
      </c>
      <c r="K430" s="259">
        <v>1906022</v>
      </c>
      <c r="L430" s="325" t="s">
        <v>971</v>
      </c>
      <c r="M430" s="272">
        <v>190602200</v>
      </c>
      <c r="N430" s="333" t="s">
        <v>972</v>
      </c>
      <c r="O430" s="272" t="s">
        <v>67</v>
      </c>
      <c r="P430" s="280">
        <v>1</v>
      </c>
      <c r="Q430" s="280">
        <v>0</v>
      </c>
      <c r="R430" s="281">
        <v>2024003630105</v>
      </c>
      <c r="S430" s="327" t="s">
        <v>973</v>
      </c>
      <c r="T430" s="328"/>
      <c r="U430" s="328"/>
      <c r="V430" s="328"/>
      <c r="W430" s="328"/>
      <c r="X430" s="328"/>
      <c r="Y430" s="328"/>
      <c r="Z430" s="328"/>
      <c r="AA430" s="328"/>
      <c r="AB430" s="328"/>
      <c r="AC430" s="328"/>
      <c r="AD430" s="328"/>
      <c r="AE430" s="328"/>
      <c r="AF430" s="328"/>
      <c r="AG430" s="328"/>
      <c r="AH430" s="328"/>
      <c r="AI430" s="328"/>
      <c r="AJ430" s="328"/>
      <c r="AK430" s="328"/>
      <c r="AL430" s="404">
        <v>13000000</v>
      </c>
      <c r="AM430" s="404"/>
      <c r="AN430" s="404"/>
      <c r="AO430" s="328"/>
      <c r="AP430" s="328"/>
      <c r="AQ430" s="328"/>
      <c r="AR430" s="328"/>
      <c r="AS430" s="328"/>
      <c r="AT430" s="328"/>
      <c r="AU430" s="328">
        <f t="shared" si="26"/>
        <v>13000000</v>
      </c>
      <c r="AV430" s="328">
        <f t="shared" si="24"/>
        <v>0</v>
      </c>
      <c r="AW430" s="328">
        <f t="shared" si="25"/>
        <v>0</v>
      </c>
      <c r="AX430" s="330" t="s">
        <v>795</v>
      </c>
      <c r="AY430" s="331"/>
      <c r="AZ430" s="331"/>
      <c r="BA430" s="331"/>
      <c r="BB430" s="331"/>
      <c r="BC430" s="331"/>
      <c r="BD430" s="331"/>
      <c r="BE430" s="331"/>
      <c r="BF430" s="331"/>
      <c r="BG430" s="331"/>
      <c r="BH430" s="331"/>
      <c r="BI430" s="331"/>
      <c r="BJ430" s="331"/>
      <c r="BK430" s="331"/>
      <c r="BL430" s="331"/>
      <c r="BM430" s="331"/>
      <c r="BN430" s="331"/>
      <c r="BO430" s="331"/>
      <c r="BP430" s="331"/>
      <c r="BQ430" s="331"/>
      <c r="BR430" s="331"/>
      <c r="BS430" s="331"/>
      <c r="BT430" s="331"/>
      <c r="BU430" s="331"/>
      <c r="BV430" s="331"/>
      <c r="BW430" s="331"/>
      <c r="BX430" s="331"/>
      <c r="BY430" s="331"/>
      <c r="BZ430" s="331"/>
      <c r="CA430" s="331"/>
      <c r="CB430" s="331"/>
      <c r="CC430" s="331"/>
      <c r="CD430" s="331"/>
      <c r="CE430" s="331"/>
      <c r="CF430" s="331"/>
      <c r="CG430" s="331"/>
      <c r="CH430" s="331"/>
      <c r="CI430" s="331"/>
      <c r="CJ430" s="331"/>
      <c r="CK430" s="331"/>
      <c r="CL430" s="331"/>
      <c r="CM430" s="331"/>
      <c r="CN430" s="331"/>
      <c r="CO430" s="331"/>
      <c r="CP430" s="331"/>
      <c r="CQ430" s="331"/>
      <c r="CR430" s="331"/>
      <c r="CS430" s="331"/>
      <c r="CT430" s="331"/>
      <c r="CU430" s="331"/>
      <c r="CV430" s="331"/>
      <c r="CW430" s="331"/>
      <c r="CX430" s="331"/>
      <c r="CY430" s="331"/>
      <c r="CZ430" s="331"/>
      <c r="DA430" s="331"/>
      <c r="DB430" s="331"/>
      <c r="DC430" s="331"/>
      <c r="DD430" s="331"/>
      <c r="DE430" s="331"/>
      <c r="DF430" s="331"/>
      <c r="DG430" s="331"/>
      <c r="DH430" s="331"/>
      <c r="DI430" s="331"/>
      <c r="DJ430" s="331"/>
      <c r="DK430" s="331"/>
      <c r="DL430" s="331"/>
      <c r="DM430" s="331"/>
      <c r="DN430" s="331"/>
      <c r="DO430" s="331"/>
      <c r="DP430" s="331"/>
      <c r="DQ430" s="331"/>
      <c r="DR430" s="331"/>
      <c r="DS430" s="331"/>
      <c r="DT430" s="331"/>
      <c r="DU430" s="331"/>
      <c r="DV430" s="331"/>
      <c r="DW430" s="331"/>
      <c r="DX430" s="331"/>
      <c r="DY430" s="331"/>
    </row>
    <row r="431" spans="1:129" s="332" customFormat="1" ht="51" x14ac:dyDescent="0.25">
      <c r="A431" s="259">
        <v>318</v>
      </c>
      <c r="B431" s="325" t="s">
        <v>791</v>
      </c>
      <c r="C431" s="259"/>
      <c r="D431" s="325"/>
      <c r="E431" s="259">
        <v>1</v>
      </c>
      <c r="F431" s="325" t="s">
        <v>112</v>
      </c>
      <c r="G431" s="259">
        <v>19</v>
      </c>
      <c r="H431" s="385" t="s">
        <v>195</v>
      </c>
      <c r="I431" s="259">
        <v>1906</v>
      </c>
      <c r="J431" s="325" t="s">
        <v>924</v>
      </c>
      <c r="K431" s="259">
        <v>1906026</v>
      </c>
      <c r="L431" s="325" t="s">
        <v>974</v>
      </c>
      <c r="M431" s="272">
        <v>190602600</v>
      </c>
      <c r="N431" s="333" t="s">
        <v>975</v>
      </c>
      <c r="O431" s="272" t="s">
        <v>67</v>
      </c>
      <c r="P431" s="280">
        <v>1</v>
      </c>
      <c r="Q431" s="280">
        <v>0</v>
      </c>
      <c r="R431" s="281">
        <v>2024003630105</v>
      </c>
      <c r="S431" s="327" t="s">
        <v>973</v>
      </c>
      <c r="T431" s="328"/>
      <c r="U431" s="328"/>
      <c r="V431" s="328"/>
      <c r="W431" s="328"/>
      <c r="X431" s="328"/>
      <c r="Y431" s="328"/>
      <c r="Z431" s="328"/>
      <c r="AA431" s="328"/>
      <c r="AB431" s="328"/>
      <c r="AC431" s="328"/>
      <c r="AD431" s="328"/>
      <c r="AE431" s="328"/>
      <c r="AF431" s="328"/>
      <c r="AG431" s="328"/>
      <c r="AH431" s="328"/>
      <c r="AI431" s="328"/>
      <c r="AJ431" s="328"/>
      <c r="AK431" s="328"/>
      <c r="AL431" s="404"/>
      <c r="AM431" s="404"/>
      <c r="AN431" s="404"/>
      <c r="AO431" s="328"/>
      <c r="AP431" s="328"/>
      <c r="AQ431" s="328"/>
      <c r="AR431" s="328"/>
      <c r="AS431" s="328"/>
      <c r="AT431" s="328"/>
      <c r="AU431" s="328">
        <f t="shared" ref="AU431:AU468" si="27">SUM(T431,W431,Z431,AC431,AF431,AI431,AL431,AO431,AR431)</f>
        <v>0</v>
      </c>
      <c r="AV431" s="328">
        <f t="shared" si="24"/>
        <v>0</v>
      </c>
      <c r="AW431" s="328">
        <f t="shared" si="25"/>
        <v>0</v>
      </c>
      <c r="AX431" s="330" t="s">
        <v>795</v>
      </c>
      <c r="AY431" s="331"/>
      <c r="AZ431" s="331"/>
      <c r="BA431" s="331"/>
      <c r="BB431" s="331"/>
      <c r="BC431" s="331"/>
      <c r="BD431" s="331"/>
      <c r="BE431" s="331"/>
      <c r="BF431" s="331"/>
      <c r="BG431" s="331"/>
      <c r="BH431" s="331"/>
      <c r="BI431" s="331"/>
      <c r="BJ431" s="331"/>
      <c r="BK431" s="331"/>
      <c r="BL431" s="331"/>
      <c r="BM431" s="331"/>
      <c r="BN431" s="331"/>
      <c r="BO431" s="331"/>
      <c r="BP431" s="331"/>
      <c r="BQ431" s="331"/>
      <c r="BR431" s="331"/>
      <c r="BS431" s="331"/>
      <c r="BT431" s="331"/>
      <c r="BU431" s="331"/>
      <c r="BV431" s="331"/>
      <c r="BW431" s="331"/>
      <c r="BX431" s="331"/>
      <c r="BY431" s="331"/>
      <c r="BZ431" s="331"/>
      <c r="CA431" s="331"/>
      <c r="CB431" s="331"/>
      <c r="CC431" s="331"/>
      <c r="CD431" s="331"/>
      <c r="CE431" s="331"/>
      <c r="CF431" s="331"/>
      <c r="CG431" s="331"/>
      <c r="CH431" s="331"/>
      <c r="CI431" s="331"/>
      <c r="CJ431" s="331"/>
      <c r="CK431" s="331"/>
      <c r="CL431" s="331"/>
      <c r="CM431" s="331"/>
      <c r="CN431" s="331"/>
      <c r="CO431" s="331"/>
      <c r="CP431" s="331"/>
      <c r="CQ431" s="331"/>
      <c r="CR431" s="331"/>
      <c r="CS431" s="331"/>
      <c r="CT431" s="331"/>
      <c r="CU431" s="331"/>
      <c r="CV431" s="331"/>
      <c r="CW431" s="331"/>
      <c r="CX431" s="331"/>
      <c r="CY431" s="331"/>
      <c r="CZ431" s="331"/>
      <c r="DA431" s="331"/>
      <c r="DB431" s="331"/>
      <c r="DC431" s="331"/>
      <c r="DD431" s="331"/>
      <c r="DE431" s="331"/>
      <c r="DF431" s="331"/>
      <c r="DG431" s="331"/>
      <c r="DH431" s="331"/>
      <c r="DI431" s="331"/>
      <c r="DJ431" s="331"/>
      <c r="DK431" s="331"/>
      <c r="DL431" s="331"/>
      <c r="DM431" s="331"/>
      <c r="DN431" s="331"/>
      <c r="DO431" s="331"/>
      <c r="DP431" s="331"/>
      <c r="DQ431" s="331"/>
      <c r="DR431" s="331"/>
      <c r="DS431" s="331"/>
      <c r="DT431" s="331"/>
      <c r="DU431" s="331"/>
      <c r="DV431" s="331"/>
      <c r="DW431" s="331"/>
      <c r="DX431" s="331"/>
      <c r="DY431" s="331"/>
    </row>
    <row r="432" spans="1:129" s="332" customFormat="1" ht="63.75" x14ac:dyDescent="0.25">
      <c r="A432" s="259">
        <v>318</v>
      </c>
      <c r="B432" s="325" t="s">
        <v>791</v>
      </c>
      <c r="C432" s="259"/>
      <c r="D432" s="325"/>
      <c r="E432" s="259">
        <v>1</v>
      </c>
      <c r="F432" s="325" t="s">
        <v>112</v>
      </c>
      <c r="G432" s="259">
        <v>19</v>
      </c>
      <c r="H432" s="385" t="s">
        <v>195</v>
      </c>
      <c r="I432" s="259">
        <v>1905</v>
      </c>
      <c r="J432" s="325" t="s">
        <v>683</v>
      </c>
      <c r="K432" s="281">
        <v>1905029</v>
      </c>
      <c r="L432" s="385" t="s">
        <v>900</v>
      </c>
      <c r="M432" s="272">
        <v>190502902</v>
      </c>
      <c r="N432" s="333" t="s">
        <v>976</v>
      </c>
      <c r="O432" s="272" t="s">
        <v>26</v>
      </c>
      <c r="P432" s="280">
        <v>1</v>
      </c>
      <c r="Q432" s="280">
        <v>0</v>
      </c>
      <c r="R432" s="281">
        <v>2024003630118</v>
      </c>
      <c r="S432" s="327" t="s">
        <v>977</v>
      </c>
      <c r="T432" s="328"/>
      <c r="U432" s="328"/>
      <c r="V432" s="328"/>
      <c r="W432" s="328"/>
      <c r="X432" s="328"/>
      <c r="Y432" s="328"/>
      <c r="Z432" s="328">
        <v>28720000</v>
      </c>
      <c r="AA432" s="328"/>
      <c r="AB432" s="328"/>
      <c r="AC432" s="328"/>
      <c r="AD432" s="328"/>
      <c r="AE432" s="328"/>
      <c r="AF432" s="328"/>
      <c r="AG432" s="328"/>
      <c r="AH432" s="328"/>
      <c r="AI432" s="328"/>
      <c r="AJ432" s="328"/>
      <c r="AK432" s="328"/>
      <c r="AL432" s="404"/>
      <c r="AM432" s="404"/>
      <c r="AN432" s="404"/>
      <c r="AO432" s="328"/>
      <c r="AP432" s="328"/>
      <c r="AQ432" s="328"/>
      <c r="AR432" s="328"/>
      <c r="AS432" s="328"/>
      <c r="AT432" s="328"/>
      <c r="AU432" s="328">
        <f t="shared" si="27"/>
        <v>28720000</v>
      </c>
      <c r="AV432" s="328">
        <f t="shared" si="24"/>
        <v>0</v>
      </c>
      <c r="AW432" s="328">
        <f t="shared" si="25"/>
        <v>0</v>
      </c>
      <c r="AX432" s="330" t="s">
        <v>795</v>
      </c>
      <c r="AY432" s="331"/>
      <c r="AZ432" s="331"/>
      <c r="BA432" s="331"/>
      <c r="BB432" s="331"/>
      <c r="BC432" s="331"/>
      <c r="BD432" s="331"/>
      <c r="BE432" s="331"/>
      <c r="BF432" s="331"/>
      <c r="BG432" s="331"/>
      <c r="BH432" s="331"/>
      <c r="BI432" s="331"/>
      <c r="BJ432" s="331"/>
      <c r="BK432" s="331"/>
      <c r="BL432" s="331"/>
      <c r="BM432" s="331"/>
      <c r="BN432" s="331"/>
      <c r="BO432" s="331"/>
      <c r="BP432" s="331"/>
      <c r="BQ432" s="331"/>
      <c r="BR432" s="331"/>
      <c r="BS432" s="331"/>
      <c r="BT432" s="331"/>
      <c r="BU432" s="331"/>
      <c r="BV432" s="331"/>
      <c r="BW432" s="331"/>
      <c r="BX432" s="331"/>
      <c r="BY432" s="331"/>
      <c r="BZ432" s="331"/>
      <c r="CA432" s="331"/>
      <c r="CB432" s="331"/>
      <c r="CC432" s="331"/>
      <c r="CD432" s="331"/>
      <c r="CE432" s="331"/>
      <c r="CF432" s="331"/>
      <c r="CG432" s="331"/>
      <c r="CH432" s="331"/>
      <c r="CI432" s="331"/>
      <c r="CJ432" s="331"/>
      <c r="CK432" s="331"/>
      <c r="CL432" s="331"/>
      <c r="CM432" s="331"/>
      <c r="CN432" s="331"/>
      <c r="CO432" s="331"/>
      <c r="CP432" s="331"/>
      <c r="CQ432" s="331"/>
      <c r="CR432" s="331"/>
      <c r="CS432" s="331"/>
      <c r="CT432" s="331"/>
      <c r="CU432" s="331"/>
      <c r="CV432" s="331"/>
      <c r="CW432" s="331"/>
      <c r="CX432" s="331"/>
      <c r="CY432" s="331"/>
      <c r="CZ432" s="331"/>
      <c r="DA432" s="331"/>
      <c r="DB432" s="331"/>
      <c r="DC432" s="331"/>
      <c r="DD432" s="331"/>
      <c r="DE432" s="331"/>
      <c r="DF432" s="331"/>
      <c r="DG432" s="331"/>
      <c r="DH432" s="331"/>
      <c r="DI432" s="331"/>
      <c r="DJ432" s="331"/>
      <c r="DK432" s="331"/>
      <c r="DL432" s="331"/>
      <c r="DM432" s="331"/>
      <c r="DN432" s="331"/>
      <c r="DO432" s="331"/>
      <c r="DP432" s="331"/>
      <c r="DQ432" s="331"/>
      <c r="DR432" s="331"/>
      <c r="DS432" s="331"/>
      <c r="DT432" s="331"/>
      <c r="DU432" s="331"/>
      <c r="DV432" s="331"/>
      <c r="DW432" s="331"/>
      <c r="DX432" s="331"/>
      <c r="DY432" s="331"/>
    </row>
    <row r="433" spans="1:129" s="332" customFormat="1" ht="51" x14ac:dyDescent="0.25">
      <c r="A433" s="259">
        <v>318</v>
      </c>
      <c r="B433" s="325" t="s">
        <v>791</v>
      </c>
      <c r="C433" s="259"/>
      <c r="D433" s="325"/>
      <c r="E433" s="259">
        <v>1</v>
      </c>
      <c r="F433" s="325" t="s">
        <v>112</v>
      </c>
      <c r="G433" s="259">
        <v>19</v>
      </c>
      <c r="H433" s="385" t="s">
        <v>195</v>
      </c>
      <c r="I433" s="259">
        <v>1903</v>
      </c>
      <c r="J433" s="325" t="s">
        <v>196</v>
      </c>
      <c r="K433" s="259">
        <v>1903015</v>
      </c>
      <c r="L433" s="259" t="s">
        <v>944</v>
      </c>
      <c r="M433" s="272">
        <v>190301500</v>
      </c>
      <c r="N433" s="333" t="s">
        <v>945</v>
      </c>
      <c r="O433" s="272" t="s">
        <v>26</v>
      </c>
      <c r="P433" s="272">
        <v>12</v>
      </c>
      <c r="Q433" s="272">
        <v>6</v>
      </c>
      <c r="R433" s="281">
        <v>2024003630116</v>
      </c>
      <c r="S433" s="327" t="s">
        <v>978</v>
      </c>
      <c r="T433" s="328"/>
      <c r="U433" s="328"/>
      <c r="V433" s="328"/>
      <c r="W433" s="328"/>
      <c r="X433" s="328"/>
      <c r="Y433" s="328"/>
      <c r="Z433" s="328">
        <v>37673318</v>
      </c>
      <c r="AA433" s="328">
        <v>23433333</v>
      </c>
      <c r="AB433" s="328">
        <v>14800000</v>
      </c>
      <c r="AC433" s="328"/>
      <c r="AD433" s="328"/>
      <c r="AE433" s="328"/>
      <c r="AF433" s="328"/>
      <c r="AG433" s="328"/>
      <c r="AH433" s="328"/>
      <c r="AI433" s="328"/>
      <c r="AJ433" s="328"/>
      <c r="AK433" s="328"/>
      <c r="AL433" s="404"/>
      <c r="AM433" s="404"/>
      <c r="AN433" s="404"/>
      <c r="AO433" s="328"/>
      <c r="AP433" s="328"/>
      <c r="AQ433" s="328"/>
      <c r="AR433" s="328"/>
      <c r="AS433" s="328"/>
      <c r="AT433" s="328"/>
      <c r="AU433" s="328">
        <f t="shared" si="27"/>
        <v>37673318</v>
      </c>
      <c r="AV433" s="328">
        <f t="shared" si="24"/>
        <v>23433333</v>
      </c>
      <c r="AW433" s="328">
        <f t="shared" si="25"/>
        <v>14800000</v>
      </c>
      <c r="AX433" s="330" t="s">
        <v>795</v>
      </c>
      <c r="AY433" s="331"/>
      <c r="AZ433" s="331"/>
      <c r="BA433" s="331"/>
      <c r="BB433" s="331"/>
      <c r="BC433" s="331"/>
      <c r="BD433" s="331"/>
      <c r="BE433" s="331"/>
      <c r="BF433" s="331"/>
      <c r="BG433" s="331"/>
      <c r="BH433" s="331"/>
      <c r="BI433" s="331"/>
      <c r="BJ433" s="331"/>
      <c r="BK433" s="331"/>
      <c r="BL433" s="331"/>
      <c r="BM433" s="331"/>
      <c r="BN433" s="331"/>
      <c r="BO433" s="331"/>
      <c r="BP433" s="331"/>
      <c r="BQ433" s="331"/>
      <c r="BR433" s="331"/>
      <c r="BS433" s="331"/>
      <c r="BT433" s="331"/>
      <c r="BU433" s="331"/>
      <c r="BV433" s="331"/>
      <c r="BW433" s="331"/>
      <c r="BX433" s="331"/>
      <c r="BY433" s="331"/>
      <c r="BZ433" s="331"/>
      <c r="CA433" s="331"/>
      <c r="CB433" s="331"/>
      <c r="CC433" s="331"/>
      <c r="CD433" s="331"/>
      <c r="CE433" s="331"/>
      <c r="CF433" s="331"/>
      <c r="CG433" s="331"/>
      <c r="CH433" s="331"/>
      <c r="CI433" s="331"/>
      <c r="CJ433" s="331"/>
      <c r="CK433" s="331"/>
      <c r="CL433" s="331"/>
      <c r="CM433" s="331"/>
      <c r="CN433" s="331"/>
      <c r="CO433" s="331"/>
      <c r="CP433" s="331"/>
      <c r="CQ433" s="331"/>
      <c r="CR433" s="331"/>
      <c r="CS433" s="331"/>
      <c r="CT433" s="331"/>
      <c r="CU433" s="331"/>
      <c r="CV433" s="331"/>
      <c r="CW433" s="331"/>
      <c r="CX433" s="331"/>
      <c r="CY433" s="331"/>
      <c r="CZ433" s="331"/>
      <c r="DA433" s="331"/>
      <c r="DB433" s="331"/>
      <c r="DC433" s="331"/>
      <c r="DD433" s="331"/>
      <c r="DE433" s="331"/>
      <c r="DF433" s="331"/>
      <c r="DG433" s="331"/>
      <c r="DH433" s="331"/>
      <c r="DI433" s="331"/>
      <c r="DJ433" s="331"/>
      <c r="DK433" s="331"/>
      <c r="DL433" s="331"/>
      <c r="DM433" s="331"/>
      <c r="DN433" s="331"/>
      <c r="DO433" s="331"/>
      <c r="DP433" s="331"/>
      <c r="DQ433" s="331"/>
      <c r="DR433" s="331"/>
      <c r="DS433" s="331"/>
      <c r="DT433" s="331"/>
      <c r="DU433" s="331"/>
      <c r="DV433" s="331"/>
      <c r="DW433" s="331"/>
      <c r="DX433" s="331"/>
      <c r="DY433" s="331"/>
    </row>
    <row r="434" spans="1:129" s="332" customFormat="1" ht="51" x14ac:dyDescent="0.25">
      <c r="A434" s="259">
        <v>318</v>
      </c>
      <c r="B434" s="325" t="s">
        <v>791</v>
      </c>
      <c r="C434" s="259"/>
      <c r="D434" s="325"/>
      <c r="E434" s="259">
        <v>1</v>
      </c>
      <c r="F434" s="325" t="s">
        <v>112</v>
      </c>
      <c r="G434" s="259">
        <v>19</v>
      </c>
      <c r="H434" s="385" t="s">
        <v>195</v>
      </c>
      <c r="I434" s="259">
        <v>1903</v>
      </c>
      <c r="J434" s="325" t="s">
        <v>196</v>
      </c>
      <c r="K434" s="259">
        <v>1903001</v>
      </c>
      <c r="L434" s="259" t="s">
        <v>65</v>
      </c>
      <c r="M434" s="272">
        <v>190300100</v>
      </c>
      <c r="N434" s="333" t="s">
        <v>820</v>
      </c>
      <c r="O434" s="272" t="s">
        <v>67</v>
      </c>
      <c r="P434" s="272">
        <v>1</v>
      </c>
      <c r="Q434" s="272">
        <v>0.2</v>
      </c>
      <c r="R434" s="281">
        <v>2024003630116</v>
      </c>
      <c r="S434" s="327" t="s">
        <v>978</v>
      </c>
      <c r="T434" s="328"/>
      <c r="U434" s="328"/>
      <c r="V434" s="328"/>
      <c r="W434" s="328"/>
      <c r="X434" s="328"/>
      <c r="Y434" s="328"/>
      <c r="Z434" s="328">
        <v>26400000</v>
      </c>
      <c r="AA434" s="328">
        <v>13500000</v>
      </c>
      <c r="AB434" s="328">
        <v>6000000</v>
      </c>
      <c r="AC434" s="328"/>
      <c r="AD434" s="328"/>
      <c r="AE434" s="328"/>
      <c r="AF434" s="328"/>
      <c r="AG434" s="328"/>
      <c r="AH434" s="328"/>
      <c r="AI434" s="328"/>
      <c r="AJ434" s="328"/>
      <c r="AK434" s="328"/>
      <c r="AL434" s="404"/>
      <c r="AM434" s="404"/>
      <c r="AN434" s="404"/>
      <c r="AO434" s="328"/>
      <c r="AP434" s="328"/>
      <c r="AQ434" s="328"/>
      <c r="AR434" s="328"/>
      <c r="AS434" s="328"/>
      <c r="AT434" s="328"/>
      <c r="AU434" s="328">
        <f t="shared" si="27"/>
        <v>26400000</v>
      </c>
      <c r="AV434" s="328">
        <f t="shared" si="24"/>
        <v>13500000</v>
      </c>
      <c r="AW434" s="328">
        <f t="shared" si="25"/>
        <v>6000000</v>
      </c>
      <c r="AX434" s="330" t="s">
        <v>795</v>
      </c>
      <c r="AY434" s="331"/>
      <c r="AZ434" s="331"/>
      <c r="BA434" s="331"/>
      <c r="BB434" s="331"/>
      <c r="BC434" s="331"/>
      <c r="BD434" s="331"/>
      <c r="BE434" s="331"/>
      <c r="BF434" s="331"/>
      <c r="BG434" s="331"/>
      <c r="BH434" s="331"/>
      <c r="BI434" s="331"/>
      <c r="BJ434" s="331"/>
      <c r="BK434" s="331"/>
      <c r="BL434" s="331"/>
      <c r="BM434" s="331"/>
      <c r="BN434" s="331"/>
      <c r="BO434" s="331"/>
      <c r="BP434" s="331"/>
      <c r="BQ434" s="331"/>
      <c r="BR434" s="331"/>
      <c r="BS434" s="331"/>
      <c r="BT434" s="331"/>
      <c r="BU434" s="331"/>
      <c r="BV434" s="331"/>
      <c r="BW434" s="331"/>
      <c r="BX434" s="331"/>
      <c r="BY434" s="331"/>
      <c r="BZ434" s="331"/>
      <c r="CA434" s="331"/>
      <c r="CB434" s="331"/>
      <c r="CC434" s="331"/>
      <c r="CD434" s="331"/>
      <c r="CE434" s="331"/>
      <c r="CF434" s="331"/>
      <c r="CG434" s="331"/>
      <c r="CH434" s="331"/>
      <c r="CI434" s="331"/>
      <c r="CJ434" s="331"/>
      <c r="CK434" s="331"/>
      <c r="CL434" s="331"/>
      <c r="CM434" s="331"/>
      <c r="CN434" s="331"/>
      <c r="CO434" s="331"/>
      <c r="CP434" s="331"/>
      <c r="CQ434" s="331"/>
      <c r="CR434" s="331"/>
      <c r="CS434" s="331"/>
      <c r="CT434" s="331"/>
      <c r="CU434" s="331"/>
      <c r="CV434" s="331"/>
      <c r="CW434" s="331"/>
      <c r="CX434" s="331"/>
      <c r="CY434" s="331"/>
      <c r="CZ434" s="331"/>
      <c r="DA434" s="331"/>
      <c r="DB434" s="331"/>
      <c r="DC434" s="331"/>
      <c r="DD434" s="331"/>
      <c r="DE434" s="331"/>
      <c r="DF434" s="331"/>
      <c r="DG434" s="331"/>
      <c r="DH434" s="331"/>
      <c r="DI434" s="331"/>
      <c r="DJ434" s="331"/>
      <c r="DK434" s="331"/>
      <c r="DL434" s="331"/>
      <c r="DM434" s="331"/>
      <c r="DN434" s="331"/>
      <c r="DO434" s="331"/>
      <c r="DP434" s="331"/>
      <c r="DQ434" s="331"/>
      <c r="DR434" s="331"/>
      <c r="DS434" s="331"/>
      <c r="DT434" s="331"/>
      <c r="DU434" s="331"/>
      <c r="DV434" s="331"/>
      <c r="DW434" s="331"/>
      <c r="DX434" s="331"/>
      <c r="DY434" s="331"/>
    </row>
    <row r="435" spans="1:129" s="505" customFormat="1" ht="63.75" x14ac:dyDescent="0.25">
      <c r="A435" s="318">
        <v>324</v>
      </c>
      <c r="B435" s="501" t="s">
        <v>979</v>
      </c>
      <c r="C435" s="318">
        <v>1</v>
      </c>
      <c r="D435" s="501" t="s">
        <v>105</v>
      </c>
      <c r="E435" s="318">
        <v>3</v>
      </c>
      <c r="F435" s="501" t="s">
        <v>147</v>
      </c>
      <c r="G435" s="318">
        <v>23</v>
      </c>
      <c r="H435" s="501" t="s">
        <v>980</v>
      </c>
      <c r="I435" s="318">
        <v>2301</v>
      </c>
      <c r="J435" s="501" t="s">
        <v>981</v>
      </c>
      <c r="K435" s="318">
        <v>2301024</v>
      </c>
      <c r="L435" s="501" t="s">
        <v>982</v>
      </c>
      <c r="M435" s="317">
        <v>230102401</v>
      </c>
      <c r="N435" s="502" t="s">
        <v>983</v>
      </c>
      <c r="O435" s="507" t="s">
        <v>26</v>
      </c>
      <c r="P435" s="317">
        <v>15</v>
      </c>
      <c r="Q435" s="317">
        <v>8</v>
      </c>
      <c r="R435" s="503">
        <v>2020003630038</v>
      </c>
      <c r="S435" s="508" t="s">
        <v>984</v>
      </c>
      <c r="T435" s="381"/>
      <c r="U435" s="381"/>
      <c r="V435" s="381"/>
      <c r="W435" s="381"/>
      <c r="X435" s="381"/>
      <c r="Y435" s="381"/>
      <c r="Z435" s="381"/>
      <c r="AA435" s="381"/>
      <c r="AB435" s="381"/>
      <c r="AC435" s="381"/>
      <c r="AD435" s="381"/>
      <c r="AE435" s="381"/>
      <c r="AF435" s="381"/>
      <c r="AG435" s="381"/>
      <c r="AH435" s="381"/>
      <c r="AI435" s="381"/>
      <c r="AJ435" s="381"/>
      <c r="AK435" s="381"/>
      <c r="AL435" s="381">
        <v>50000000</v>
      </c>
      <c r="AM435" s="381">
        <v>50000000</v>
      </c>
      <c r="AN435" s="381">
        <v>50000000</v>
      </c>
      <c r="AO435" s="381"/>
      <c r="AP435" s="381"/>
      <c r="AQ435" s="381"/>
      <c r="AR435" s="381"/>
      <c r="AS435" s="381"/>
      <c r="AT435" s="381"/>
      <c r="AU435" s="381">
        <f t="shared" si="27"/>
        <v>50000000</v>
      </c>
      <c r="AV435" s="381">
        <f t="shared" ref="AV435:AW489" si="28">SUM(U435,X435,AA435,AD435,AG435,AJ435,AM435,AP435,AS435)</f>
        <v>50000000</v>
      </c>
      <c r="AW435" s="381">
        <f t="shared" ref="AW435:AW489" si="29">SUM(V435,Y435,AB435,AE435,AH435,AK435,AN435,AQ435,AT435)</f>
        <v>50000000</v>
      </c>
      <c r="AX435" s="504" t="s">
        <v>985</v>
      </c>
    </row>
    <row r="436" spans="1:129" s="505" customFormat="1" ht="63.75" x14ac:dyDescent="0.25">
      <c r="A436" s="318">
        <v>324</v>
      </c>
      <c r="B436" s="501" t="s">
        <v>979</v>
      </c>
      <c r="C436" s="318">
        <v>1</v>
      </c>
      <c r="D436" s="501" t="s">
        <v>105</v>
      </c>
      <c r="E436" s="318">
        <v>3</v>
      </c>
      <c r="F436" s="501" t="s">
        <v>147</v>
      </c>
      <c r="G436" s="318">
        <v>23</v>
      </c>
      <c r="H436" s="501" t="s">
        <v>980</v>
      </c>
      <c r="I436" s="318">
        <v>2301</v>
      </c>
      <c r="J436" s="501" t="s">
        <v>981</v>
      </c>
      <c r="K436" s="318">
        <v>2301079</v>
      </c>
      <c r="L436" s="501" t="s">
        <v>986</v>
      </c>
      <c r="M436" s="317">
        <v>230107902</v>
      </c>
      <c r="N436" s="502" t="s">
        <v>987</v>
      </c>
      <c r="O436" s="507" t="s">
        <v>67</v>
      </c>
      <c r="P436" s="317">
        <v>15</v>
      </c>
      <c r="Q436" s="317">
        <v>0</v>
      </c>
      <c r="R436" s="503">
        <v>2020003630038</v>
      </c>
      <c r="S436" s="508" t="s">
        <v>984</v>
      </c>
      <c r="T436" s="381"/>
      <c r="U436" s="381"/>
      <c r="V436" s="381"/>
      <c r="W436" s="381"/>
      <c r="X436" s="381"/>
      <c r="Y436" s="381"/>
      <c r="Z436" s="381"/>
      <c r="AA436" s="381"/>
      <c r="AB436" s="381"/>
      <c r="AC436" s="381"/>
      <c r="AD436" s="381"/>
      <c r="AE436" s="381"/>
      <c r="AF436" s="381"/>
      <c r="AG436" s="381"/>
      <c r="AH436" s="381"/>
      <c r="AI436" s="381"/>
      <c r="AJ436" s="381"/>
      <c r="AK436" s="381"/>
      <c r="AL436" s="381">
        <f>70000000-35000000</f>
        <v>35000000</v>
      </c>
      <c r="AM436" s="381">
        <v>35000000</v>
      </c>
      <c r="AN436" s="381">
        <v>35000000</v>
      </c>
      <c r="AO436" s="381"/>
      <c r="AP436" s="381"/>
      <c r="AQ436" s="381"/>
      <c r="AR436" s="381"/>
      <c r="AS436" s="381"/>
      <c r="AT436" s="381"/>
      <c r="AU436" s="381">
        <f t="shared" si="27"/>
        <v>35000000</v>
      </c>
      <c r="AV436" s="381">
        <f t="shared" si="28"/>
        <v>35000000</v>
      </c>
      <c r="AW436" s="381">
        <f t="shared" si="29"/>
        <v>35000000</v>
      </c>
      <c r="AX436" s="504" t="s">
        <v>985</v>
      </c>
    </row>
    <row r="437" spans="1:129" s="332" customFormat="1" ht="89.25" x14ac:dyDescent="0.25">
      <c r="A437" s="277">
        <v>324</v>
      </c>
      <c r="B437" s="325" t="s">
        <v>979</v>
      </c>
      <c r="C437" s="313"/>
      <c r="D437" s="386"/>
      <c r="E437" s="313">
        <v>3</v>
      </c>
      <c r="F437" s="386" t="s">
        <v>147</v>
      </c>
      <c r="G437" s="345">
        <v>23</v>
      </c>
      <c r="H437" s="325" t="s">
        <v>989</v>
      </c>
      <c r="I437" s="282" t="s">
        <v>990</v>
      </c>
      <c r="J437" s="385" t="s">
        <v>981</v>
      </c>
      <c r="K437" s="259">
        <v>2301024</v>
      </c>
      <c r="L437" s="325" t="s">
        <v>991</v>
      </c>
      <c r="M437" s="267">
        <v>230102400</v>
      </c>
      <c r="N437" s="474" t="s">
        <v>992</v>
      </c>
      <c r="O437" s="282" t="s">
        <v>26</v>
      </c>
      <c r="P437" s="272">
        <v>15</v>
      </c>
      <c r="Q437" s="272">
        <v>8</v>
      </c>
      <c r="R437" s="281">
        <v>2024003630005</v>
      </c>
      <c r="S437" s="327" t="s">
        <v>993</v>
      </c>
      <c r="T437" s="328"/>
      <c r="U437" s="328"/>
      <c r="V437" s="328"/>
      <c r="W437" s="328"/>
      <c r="X437" s="328"/>
      <c r="Y437" s="328"/>
      <c r="Z437" s="328"/>
      <c r="AA437" s="328"/>
      <c r="AB437" s="328"/>
      <c r="AC437" s="328"/>
      <c r="AD437" s="328"/>
      <c r="AE437" s="328"/>
      <c r="AF437" s="328"/>
      <c r="AG437" s="328"/>
      <c r="AH437" s="328"/>
      <c r="AI437" s="328"/>
      <c r="AJ437" s="328"/>
      <c r="AK437" s="328"/>
      <c r="AL437" s="328">
        <v>34000000</v>
      </c>
      <c r="AM437" s="328">
        <v>32180000</v>
      </c>
      <c r="AN437" s="328">
        <v>19500000</v>
      </c>
      <c r="AO437" s="343"/>
      <c r="AP437" s="343"/>
      <c r="AQ437" s="343"/>
      <c r="AR437" s="343"/>
      <c r="AS437" s="343"/>
      <c r="AT437" s="343"/>
      <c r="AU437" s="328">
        <f t="shared" si="27"/>
        <v>34000000</v>
      </c>
      <c r="AV437" s="328">
        <f t="shared" si="28"/>
        <v>32180000</v>
      </c>
      <c r="AW437" s="328">
        <f t="shared" si="29"/>
        <v>19500000</v>
      </c>
      <c r="AX437" s="330" t="s">
        <v>985</v>
      </c>
      <c r="AY437" s="331"/>
      <c r="AZ437" s="331"/>
      <c r="BA437" s="331"/>
      <c r="BB437" s="331"/>
      <c r="BC437" s="331"/>
      <c r="BD437" s="331"/>
      <c r="BE437" s="331"/>
      <c r="BF437" s="331"/>
      <c r="BG437" s="331"/>
      <c r="BH437" s="331"/>
      <c r="BI437" s="331"/>
      <c r="BJ437" s="331"/>
      <c r="BK437" s="331"/>
      <c r="BL437" s="331"/>
      <c r="BM437" s="331"/>
      <c r="BN437" s="331"/>
      <c r="BO437" s="331"/>
      <c r="BP437" s="331"/>
      <c r="BQ437" s="331"/>
      <c r="BR437" s="331"/>
      <c r="BS437" s="331"/>
      <c r="BT437" s="331"/>
      <c r="BU437" s="331"/>
      <c r="BV437" s="331"/>
      <c r="BW437" s="331"/>
      <c r="BX437" s="331"/>
      <c r="BY437" s="331"/>
      <c r="BZ437" s="331"/>
      <c r="CA437" s="331"/>
      <c r="CB437" s="331"/>
      <c r="CC437" s="331"/>
      <c r="CD437" s="331"/>
      <c r="CE437" s="331"/>
      <c r="CF437" s="331"/>
      <c r="CG437" s="331"/>
      <c r="CH437" s="331"/>
      <c r="CI437" s="331"/>
      <c r="CJ437" s="331"/>
      <c r="CK437" s="331"/>
      <c r="CL437" s="331"/>
      <c r="CM437" s="331"/>
      <c r="CN437" s="331"/>
      <c r="CO437" s="331"/>
      <c r="CP437" s="331"/>
      <c r="CQ437" s="331"/>
      <c r="CR437" s="331"/>
      <c r="CS437" s="331"/>
      <c r="CT437" s="331"/>
      <c r="CU437" s="331"/>
      <c r="CV437" s="331"/>
      <c r="CW437" s="331"/>
      <c r="CX437" s="331"/>
      <c r="CY437" s="331"/>
      <c r="CZ437" s="331"/>
      <c r="DA437" s="331"/>
      <c r="DB437" s="331"/>
      <c r="DC437" s="331"/>
      <c r="DD437" s="331"/>
      <c r="DE437" s="331"/>
      <c r="DF437" s="331"/>
      <c r="DG437" s="331"/>
      <c r="DH437" s="331"/>
      <c r="DI437" s="331"/>
      <c r="DJ437" s="331"/>
      <c r="DK437" s="331"/>
      <c r="DL437" s="331"/>
      <c r="DM437" s="331"/>
      <c r="DN437" s="331"/>
      <c r="DO437" s="331"/>
      <c r="DP437" s="331"/>
      <c r="DQ437" s="331"/>
      <c r="DR437" s="331"/>
      <c r="DS437" s="331"/>
      <c r="DT437" s="331"/>
      <c r="DU437" s="331"/>
      <c r="DV437" s="331"/>
      <c r="DW437" s="331"/>
      <c r="DX437" s="331"/>
      <c r="DY437" s="331"/>
    </row>
    <row r="438" spans="1:129" s="332" customFormat="1" ht="63.75" x14ac:dyDescent="0.25">
      <c r="A438" s="277">
        <v>324</v>
      </c>
      <c r="B438" s="325" t="s">
        <v>979</v>
      </c>
      <c r="C438" s="313"/>
      <c r="D438" s="386"/>
      <c r="E438" s="313">
        <v>3</v>
      </c>
      <c r="F438" s="386" t="s">
        <v>147</v>
      </c>
      <c r="G438" s="282" t="s">
        <v>994</v>
      </c>
      <c r="H438" s="325" t="s">
        <v>980</v>
      </c>
      <c r="I438" s="282" t="s">
        <v>990</v>
      </c>
      <c r="J438" s="385" t="s">
        <v>981</v>
      </c>
      <c r="K438" s="282" t="s">
        <v>995</v>
      </c>
      <c r="L438" s="385" t="s">
        <v>996</v>
      </c>
      <c r="M438" s="267">
        <v>230102800</v>
      </c>
      <c r="N438" s="417" t="s">
        <v>997</v>
      </c>
      <c r="O438" s="282" t="s">
        <v>67</v>
      </c>
      <c r="P438" s="272">
        <v>1</v>
      </c>
      <c r="Q438" s="272">
        <v>0</v>
      </c>
      <c r="R438" s="281">
        <v>2024003630005</v>
      </c>
      <c r="S438" s="327" t="s">
        <v>993</v>
      </c>
      <c r="T438" s="328"/>
      <c r="U438" s="328"/>
      <c r="V438" s="328"/>
      <c r="W438" s="328"/>
      <c r="X438" s="328"/>
      <c r="Y438" s="328"/>
      <c r="Z438" s="328"/>
      <c r="AA438" s="328"/>
      <c r="AB438" s="328"/>
      <c r="AC438" s="328"/>
      <c r="AD438" s="328"/>
      <c r="AE438" s="328"/>
      <c r="AF438" s="328"/>
      <c r="AG438" s="328"/>
      <c r="AH438" s="328"/>
      <c r="AI438" s="328"/>
      <c r="AJ438" s="328"/>
      <c r="AK438" s="328"/>
      <c r="AL438" s="328">
        <f>1000000000+28322654</f>
        <v>1028322654</v>
      </c>
      <c r="AM438" s="328">
        <v>28322654</v>
      </c>
      <c r="AN438" s="328"/>
      <c r="AO438" s="343"/>
      <c r="AP438" s="343"/>
      <c r="AQ438" s="343"/>
      <c r="AR438" s="509">
        <v>19998964874</v>
      </c>
      <c r="AS438" s="343"/>
      <c r="AT438" s="343"/>
      <c r="AU438" s="328">
        <f t="shared" si="27"/>
        <v>21027287528</v>
      </c>
      <c r="AV438" s="328">
        <f t="shared" si="28"/>
        <v>28322654</v>
      </c>
      <c r="AW438" s="328">
        <f t="shared" si="29"/>
        <v>0</v>
      </c>
      <c r="AX438" s="330" t="s">
        <v>985</v>
      </c>
      <c r="AY438" s="331"/>
      <c r="AZ438" s="331"/>
      <c r="BA438" s="331"/>
      <c r="BB438" s="331"/>
      <c r="BC438" s="331"/>
      <c r="BD438" s="331"/>
      <c r="BE438" s="331"/>
      <c r="BF438" s="331"/>
      <c r="BG438" s="331"/>
      <c r="BH438" s="331"/>
      <c r="BI438" s="331"/>
      <c r="BJ438" s="331"/>
      <c r="BK438" s="331"/>
      <c r="BL438" s="331"/>
      <c r="BM438" s="331"/>
      <c r="BN438" s="331"/>
      <c r="BO438" s="331"/>
      <c r="BP438" s="331"/>
      <c r="BQ438" s="331"/>
      <c r="BR438" s="331"/>
      <c r="BS438" s="331"/>
      <c r="BT438" s="331"/>
      <c r="BU438" s="331"/>
      <c r="BV438" s="331"/>
      <c r="BW438" s="331"/>
      <c r="BX438" s="331"/>
      <c r="BY438" s="331"/>
      <c r="BZ438" s="331"/>
      <c r="CA438" s="331"/>
      <c r="CB438" s="331"/>
      <c r="CC438" s="331"/>
      <c r="CD438" s="331"/>
      <c r="CE438" s="331"/>
      <c r="CF438" s="331"/>
      <c r="CG438" s="331"/>
      <c r="CH438" s="331"/>
      <c r="CI438" s="331"/>
      <c r="CJ438" s="331"/>
      <c r="CK438" s="331"/>
      <c r="CL438" s="331"/>
      <c r="CM438" s="331"/>
      <c r="CN438" s="331"/>
      <c r="CO438" s="331"/>
      <c r="CP438" s="331"/>
      <c r="CQ438" s="331"/>
      <c r="CR438" s="331"/>
      <c r="CS438" s="331"/>
      <c r="CT438" s="331"/>
      <c r="CU438" s="331"/>
      <c r="CV438" s="331"/>
      <c r="CW438" s="331"/>
      <c r="CX438" s="331"/>
      <c r="CY438" s="331"/>
      <c r="CZ438" s="331"/>
      <c r="DA438" s="331"/>
      <c r="DB438" s="331"/>
      <c r="DC438" s="331"/>
      <c r="DD438" s="331"/>
      <c r="DE438" s="331"/>
      <c r="DF438" s="331"/>
      <c r="DG438" s="331"/>
      <c r="DH438" s="331"/>
      <c r="DI438" s="331"/>
      <c r="DJ438" s="331"/>
      <c r="DK438" s="331"/>
      <c r="DL438" s="331"/>
      <c r="DM438" s="331"/>
      <c r="DN438" s="331"/>
      <c r="DO438" s="331"/>
      <c r="DP438" s="331"/>
      <c r="DQ438" s="331"/>
      <c r="DR438" s="331"/>
      <c r="DS438" s="331"/>
      <c r="DT438" s="331"/>
      <c r="DU438" s="331"/>
      <c r="DV438" s="331"/>
      <c r="DW438" s="331"/>
      <c r="DX438" s="331"/>
      <c r="DY438" s="331"/>
    </row>
    <row r="439" spans="1:129" s="332" customFormat="1" ht="76.5" x14ac:dyDescent="0.25">
      <c r="A439" s="277">
        <v>324</v>
      </c>
      <c r="B439" s="325" t="s">
        <v>979</v>
      </c>
      <c r="C439" s="313"/>
      <c r="D439" s="386"/>
      <c r="E439" s="313">
        <v>3</v>
      </c>
      <c r="F439" s="386" t="s">
        <v>147</v>
      </c>
      <c r="G439" s="345">
        <v>23</v>
      </c>
      <c r="H439" s="325" t="s">
        <v>980</v>
      </c>
      <c r="I439" s="345">
        <v>2301</v>
      </c>
      <c r="J439" s="385" t="s">
        <v>981</v>
      </c>
      <c r="K439" s="345">
        <v>2301079</v>
      </c>
      <c r="L439" s="385" t="s">
        <v>986</v>
      </c>
      <c r="M439" s="267">
        <v>230107902</v>
      </c>
      <c r="N439" s="417" t="s">
        <v>998</v>
      </c>
      <c r="O439" s="282" t="s">
        <v>67</v>
      </c>
      <c r="P439" s="313">
        <v>30</v>
      </c>
      <c r="Q439" s="313" t="s">
        <v>1232</v>
      </c>
      <c r="R439" s="281">
        <v>2024003630005</v>
      </c>
      <c r="S439" s="327" t="s">
        <v>993</v>
      </c>
      <c r="T439" s="328"/>
      <c r="U439" s="328"/>
      <c r="V439" s="328"/>
      <c r="W439" s="328"/>
      <c r="X439" s="328"/>
      <c r="Y439" s="328"/>
      <c r="Z439" s="328"/>
      <c r="AA439" s="328"/>
      <c r="AB439" s="328"/>
      <c r="AC439" s="328"/>
      <c r="AD439" s="328"/>
      <c r="AE439" s="328"/>
      <c r="AF439" s="328"/>
      <c r="AG439" s="328"/>
      <c r="AH439" s="328"/>
      <c r="AI439" s="328"/>
      <c r="AJ439" s="328"/>
      <c r="AK439" s="328"/>
      <c r="AL439" s="328">
        <v>5000000</v>
      </c>
      <c r="AM439" s="328"/>
      <c r="AN439" s="328"/>
      <c r="AO439" s="343"/>
      <c r="AP439" s="343"/>
      <c r="AQ439" s="343"/>
      <c r="AR439" s="343"/>
      <c r="AS439" s="343"/>
      <c r="AT439" s="343"/>
      <c r="AU439" s="328">
        <f t="shared" si="27"/>
        <v>5000000</v>
      </c>
      <c r="AV439" s="328">
        <f t="shared" si="28"/>
        <v>0</v>
      </c>
      <c r="AW439" s="328">
        <f t="shared" si="29"/>
        <v>0</v>
      </c>
      <c r="AX439" s="330" t="s">
        <v>985</v>
      </c>
      <c r="AY439" s="331"/>
      <c r="AZ439" s="331"/>
      <c r="BA439" s="331"/>
      <c r="BB439" s="331"/>
      <c r="BC439" s="331"/>
      <c r="BD439" s="331"/>
      <c r="BE439" s="331"/>
      <c r="BF439" s="331"/>
      <c r="BG439" s="331"/>
      <c r="BH439" s="331"/>
      <c r="BI439" s="331"/>
      <c r="BJ439" s="331"/>
      <c r="BK439" s="331"/>
      <c r="BL439" s="331"/>
      <c r="BM439" s="331"/>
      <c r="BN439" s="331"/>
      <c r="BO439" s="331"/>
      <c r="BP439" s="331"/>
      <c r="BQ439" s="331"/>
      <c r="BR439" s="331"/>
      <c r="BS439" s="331"/>
      <c r="BT439" s="331"/>
      <c r="BU439" s="331"/>
      <c r="BV439" s="331"/>
      <c r="BW439" s="331"/>
      <c r="BX439" s="331"/>
      <c r="BY439" s="331"/>
      <c r="BZ439" s="331"/>
      <c r="CA439" s="331"/>
      <c r="CB439" s="331"/>
      <c r="CC439" s="331"/>
      <c r="CD439" s="331"/>
      <c r="CE439" s="331"/>
      <c r="CF439" s="331"/>
      <c r="CG439" s="331"/>
      <c r="CH439" s="331"/>
      <c r="CI439" s="331"/>
      <c r="CJ439" s="331"/>
      <c r="CK439" s="331"/>
      <c r="CL439" s="331"/>
      <c r="CM439" s="331"/>
      <c r="CN439" s="331"/>
      <c r="CO439" s="331"/>
      <c r="CP439" s="331"/>
      <c r="CQ439" s="331"/>
      <c r="CR439" s="331"/>
      <c r="CS439" s="331"/>
      <c r="CT439" s="331"/>
      <c r="CU439" s="331"/>
      <c r="CV439" s="331"/>
      <c r="CW439" s="331"/>
      <c r="CX439" s="331"/>
      <c r="CY439" s="331"/>
      <c r="CZ439" s="331"/>
      <c r="DA439" s="331"/>
      <c r="DB439" s="331"/>
      <c r="DC439" s="331"/>
      <c r="DD439" s="331"/>
      <c r="DE439" s="331"/>
      <c r="DF439" s="331"/>
      <c r="DG439" s="331"/>
      <c r="DH439" s="331"/>
      <c r="DI439" s="331"/>
      <c r="DJ439" s="331"/>
      <c r="DK439" s="331"/>
      <c r="DL439" s="331"/>
      <c r="DM439" s="331"/>
      <c r="DN439" s="331"/>
      <c r="DO439" s="331"/>
      <c r="DP439" s="331"/>
      <c r="DQ439" s="331"/>
      <c r="DR439" s="331"/>
      <c r="DS439" s="331"/>
      <c r="DT439" s="331"/>
      <c r="DU439" s="331"/>
      <c r="DV439" s="331"/>
      <c r="DW439" s="331"/>
      <c r="DX439" s="331"/>
      <c r="DY439" s="331"/>
    </row>
    <row r="440" spans="1:129" s="331" customFormat="1" ht="63.75" x14ac:dyDescent="0.25">
      <c r="A440" s="257">
        <v>324</v>
      </c>
      <c r="B440" s="376" t="s">
        <v>979</v>
      </c>
      <c r="C440" s="257">
        <v>1</v>
      </c>
      <c r="D440" s="376" t="s">
        <v>105</v>
      </c>
      <c r="E440" s="257">
        <v>3</v>
      </c>
      <c r="F440" s="376" t="s">
        <v>147</v>
      </c>
      <c r="G440" s="257">
        <v>23</v>
      </c>
      <c r="H440" s="376" t="s">
        <v>980</v>
      </c>
      <c r="I440" s="257">
        <v>2301</v>
      </c>
      <c r="J440" s="376" t="s">
        <v>981</v>
      </c>
      <c r="K440" s="257">
        <v>2301030</v>
      </c>
      <c r="L440" s="376" t="s">
        <v>999</v>
      </c>
      <c r="M440" s="280">
        <v>230103000</v>
      </c>
      <c r="N440" s="388" t="s">
        <v>1000</v>
      </c>
      <c r="O440" s="378" t="s">
        <v>67</v>
      </c>
      <c r="P440" s="302">
        <v>7000</v>
      </c>
      <c r="Q440" s="302">
        <v>2528</v>
      </c>
      <c r="R440" s="380">
        <v>2020003630139</v>
      </c>
      <c r="S440" s="500" t="s">
        <v>1001</v>
      </c>
      <c r="T440" s="381"/>
      <c r="U440" s="381"/>
      <c r="V440" s="381"/>
      <c r="W440" s="381"/>
      <c r="X440" s="381"/>
      <c r="Y440" s="381"/>
      <c r="Z440" s="381"/>
      <c r="AA440" s="381"/>
      <c r="AB440" s="381"/>
      <c r="AC440" s="381"/>
      <c r="AD440" s="381"/>
      <c r="AE440" s="381"/>
      <c r="AF440" s="381"/>
      <c r="AG440" s="381"/>
      <c r="AH440" s="381"/>
      <c r="AI440" s="381"/>
      <c r="AJ440" s="381"/>
      <c r="AK440" s="381"/>
      <c r="AL440" s="381">
        <f>254521994.78+35000000-50005.78</f>
        <v>289471989</v>
      </c>
      <c r="AM440" s="381">
        <v>289471989</v>
      </c>
      <c r="AN440" s="381">
        <v>289471989</v>
      </c>
      <c r="AO440" s="381"/>
      <c r="AP440" s="381"/>
      <c r="AQ440" s="381"/>
      <c r="AR440" s="381"/>
      <c r="AS440" s="381"/>
      <c r="AT440" s="381"/>
      <c r="AU440" s="381">
        <f t="shared" si="27"/>
        <v>289471989</v>
      </c>
      <c r="AV440" s="381">
        <f t="shared" si="28"/>
        <v>289471989</v>
      </c>
      <c r="AW440" s="381">
        <f t="shared" si="29"/>
        <v>289471989</v>
      </c>
      <c r="AX440" s="473" t="s">
        <v>985</v>
      </c>
    </row>
    <row r="441" spans="1:129" s="331" customFormat="1" ht="63.75" x14ac:dyDescent="0.25">
      <c r="A441" s="257">
        <v>324</v>
      </c>
      <c r="B441" s="376" t="s">
        <v>979</v>
      </c>
      <c r="C441" s="257">
        <v>1</v>
      </c>
      <c r="D441" s="376" t="s">
        <v>105</v>
      </c>
      <c r="E441" s="257">
        <v>4</v>
      </c>
      <c r="F441" s="376" t="s">
        <v>102</v>
      </c>
      <c r="G441" s="257">
        <v>23</v>
      </c>
      <c r="H441" s="376" t="s">
        <v>980</v>
      </c>
      <c r="I441" s="257">
        <v>2301</v>
      </c>
      <c r="J441" s="376" t="s">
        <v>981</v>
      </c>
      <c r="K441" s="257">
        <v>2301004</v>
      </c>
      <c r="L441" s="376" t="s">
        <v>173</v>
      </c>
      <c r="M441" s="280">
        <v>230100400</v>
      </c>
      <c r="N441" s="392" t="s">
        <v>174</v>
      </c>
      <c r="O441" s="378" t="s">
        <v>26</v>
      </c>
      <c r="P441" s="280">
        <v>1</v>
      </c>
      <c r="Q441" s="280">
        <v>0.5</v>
      </c>
      <c r="R441" s="380">
        <v>2020003630139</v>
      </c>
      <c r="S441" s="500" t="s">
        <v>1001</v>
      </c>
      <c r="T441" s="381"/>
      <c r="U441" s="381"/>
      <c r="V441" s="381"/>
      <c r="W441" s="381"/>
      <c r="X441" s="381"/>
      <c r="Y441" s="381"/>
      <c r="Z441" s="381"/>
      <c r="AA441" s="381"/>
      <c r="AB441" s="381"/>
      <c r="AC441" s="381"/>
      <c r="AD441" s="381"/>
      <c r="AE441" s="381"/>
      <c r="AF441" s="381"/>
      <c r="AG441" s="381"/>
      <c r="AH441" s="381"/>
      <c r="AI441" s="381"/>
      <c r="AJ441" s="381"/>
      <c r="AK441" s="381"/>
      <c r="AL441" s="381">
        <f>30000000-400000</f>
        <v>29600000</v>
      </c>
      <c r="AM441" s="381">
        <v>29600000</v>
      </c>
      <c r="AN441" s="381">
        <v>29600000</v>
      </c>
      <c r="AO441" s="381"/>
      <c r="AP441" s="381"/>
      <c r="AQ441" s="381"/>
      <c r="AR441" s="381"/>
      <c r="AS441" s="381"/>
      <c r="AT441" s="381"/>
      <c r="AU441" s="381">
        <f t="shared" si="27"/>
        <v>29600000</v>
      </c>
      <c r="AV441" s="381">
        <f t="shared" si="28"/>
        <v>29600000</v>
      </c>
      <c r="AW441" s="381">
        <f t="shared" si="29"/>
        <v>29600000</v>
      </c>
      <c r="AX441" s="473" t="s">
        <v>985</v>
      </c>
    </row>
    <row r="442" spans="1:129" s="331" customFormat="1" ht="89.25" x14ac:dyDescent="0.25">
      <c r="A442" s="257">
        <v>324</v>
      </c>
      <c r="B442" s="376" t="s">
        <v>979</v>
      </c>
      <c r="C442" s="257">
        <v>1</v>
      </c>
      <c r="D442" s="376" t="s">
        <v>105</v>
      </c>
      <c r="E442" s="257">
        <v>3</v>
      </c>
      <c r="F442" s="376" t="s">
        <v>147</v>
      </c>
      <c r="G442" s="257">
        <v>23</v>
      </c>
      <c r="H442" s="376" t="s">
        <v>980</v>
      </c>
      <c r="I442" s="257">
        <v>2301</v>
      </c>
      <c r="J442" s="376" t="s">
        <v>981</v>
      </c>
      <c r="K442" s="257">
        <v>2301035</v>
      </c>
      <c r="L442" s="376" t="s">
        <v>1002</v>
      </c>
      <c r="M442" s="280">
        <v>230103500</v>
      </c>
      <c r="N442" s="388" t="s">
        <v>1003</v>
      </c>
      <c r="O442" s="378" t="s">
        <v>67</v>
      </c>
      <c r="P442" s="280">
        <v>40</v>
      </c>
      <c r="Q442" s="280">
        <v>40</v>
      </c>
      <c r="R442" s="380">
        <v>2020003630139</v>
      </c>
      <c r="S442" s="500" t="s">
        <v>1001</v>
      </c>
      <c r="T442" s="381"/>
      <c r="U442" s="381"/>
      <c r="V442" s="381"/>
      <c r="W442" s="381"/>
      <c r="X442" s="381"/>
      <c r="Y442" s="381"/>
      <c r="Z442" s="381"/>
      <c r="AA442" s="381"/>
      <c r="AB442" s="381"/>
      <c r="AC442" s="381"/>
      <c r="AD442" s="381"/>
      <c r="AE442" s="381"/>
      <c r="AF442" s="381"/>
      <c r="AG442" s="381"/>
      <c r="AH442" s="381"/>
      <c r="AI442" s="381"/>
      <c r="AJ442" s="381"/>
      <c r="AK442" s="381"/>
      <c r="AL442" s="381">
        <v>45000000</v>
      </c>
      <c r="AM442" s="381">
        <v>45000000</v>
      </c>
      <c r="AN442" s="381">
        <v>45000000</v>
      </c>
      <c r="AO442" s="381"/>
      <c r="AP442" s="381"/>
      <c r="AQ442" s="381"/>
      <c r="AR442" s="381"/>
      <c r="AS442" s="381"/>
      <c r="AT442" s="381"/>
      <c r="AU442" s="381">
        <f t="shared" si="27"/>
        <v>45000000</v>
      </c>
      <c r="AV442" s="381">
        <f t="shared" si="28"/>
        <v>45000000</v>
      </c>
      <c r="AW442" s="381">
        <f t="shared" si="29"/>
        <v>45000000</v>
      </c>
      <c r="AX442" s="473" t="s">
        <v>985</v>
      </c>
    </row>
    <row r="443" spans="1:129" s="332" customFormat="1" ht="140.25" x14ac:dyDescent="0.25">
      <c r="A443" s="277">
        <v>324</v>
      </c>
      <c r="B443" s="325" t="s">
        <v>979</v>
      </c>
      <c r="C443" s="313"/>
      <c r="D443" s="386"/>
      <c r="E443" s="313">
        <v>3</v>
      </c>
      <c r="F443" s="386" t="s">
        <v>147</v>
      </c>
      <c r="G443" s="259">
        <v>23</v>
      </c>
      <c r="H443" s="325" t="s">
        <v>980</v>
      </c>
      <c r="I443" s="259">
        <v>2301</v>
      </c>
      <c r="J443" s="325" t="s">
        <v>981</v>
      </c>
      <c r="K443" s="259">
        <v>2301062</v>
      </c>
      <c r="L443" s="325" t="s">
        <v>988</v>
      </c>
      <c r="M443" s="267">
        <v>230106200</v>
      </c>
      <c r="N443" s="474" t="s">
        <v>1004</v>
      </c>
      <c r="O443" s="282" t="s">
        <v>67</v>
      </c>
      <c r="P443" s="303">
        <v>3000</v>
      </c>
      <c r="Q443" s="303">
        <v>0</v>
      </c>
      <c r="R443" s="281">
        <v>2024003630004</v>
      </c>
      <c r="S443" s="327" t="s">
        <v>1005</v>
      </c>
      <c r="T443" s="328"/>
      <c r="U443" s="328"/>
      <c r="V443" s="328"/>
      <c r="W443" s="328"/>
      <c r="X443" s="328"/>
      <c r="Y443" s="328"/>
      <c r="Z443" s="328"/>
      <c r="AA443" s="328"/>
      <c r="AB443" s="328"/>
      <c r="AC443" s="328"/>
      <c r="AD443" s="328"/>
      <c r="AE443" s="328"/>
      <c r="AF443" s="328"/>
      <c r="AG443" s="328"/>
      <c r="AH443" s="328"/>
      <c r="AI443" s="328"/>
      <c r="AJ443" s="328"/>
      <c r="AK443" s="328"/>
      <c r="AL443" s="510">
        <v>4000000</v>
      </c>
      <c r="AM443" s="510"/>
      <c r="AN443" s="510"/>
      <c r="AO443" s="328"/>
      <c r="AP443" s="328"/>
      <c r="AQ443" s="328"/>
      <c r="AR443" s="328"/>
      <c r="AS443" s="328"/>
      <c r="AT443" s="328"/>
      <c r="AU443" s="328">
        <f t="shared" si="27"/>
        <v>4000000</v>
      </c>
      <c r="AV443" s="328">
        <f t="shared" si="28"/>
        <v>0</v>
      </c>
      <c r="AW443" s="328">
        <f t="shared" si="29"/>
        <v>0</v>
      </c>
      <c r="AX443" s="330" t="s">
        <v>985</v>
      </c>
      <c r="AY443" s="331"/>
      <c r="AZ443" s="331"/>
      <c r="BA443" s="331"/>
      <c r="BB443" s="331"/>
      <c r="BC443" s="331"/>
      <c r="BD443" s="331"/>
      <c r="BE443" s="331"/>
      <c r="BF443" s="331"/>
      <c r="BG443" s="331"/>
      <c r="BH443" s="331"/>
      <c r="BI443" s="331"/>
      <c r="BJ443" s="331"/>
      <c r="BK443" s="331"/>
      <c r="BL443" s="331"/>
      <c r="BM443" s="331"/>
      <c r="BN443" s="331"/>
      <c r="BO443" s="331"/>
      <c r="BP443" s="331"/>
      <c r="BQ443" s="331"/>
      <c r="BR443" s="331"/>
      <c r="BS443" s="331"/>
      <c r="BT443" s="331"/>
      <c r="BU443" s="331"/>
      <c r="BV443" s="331"/>
      <c r="BW443" s="331"/>
      <c r="BX443" s="331"/>
      <c r="BY443" s="331"/>
      <c r="BZ443" s="331"/>
      <c r="CA443" s="331"/>
      <c r="CB443" s="331"/>
      <c r="CC443" s="331"/>
      <c r="CD443" s="331"/>
      <c r="CE443" s="331"/>
      <c r="CF443" s="331"/>
      <c r="CG443" s="331"/>
      <c r="CH443" s="331"/>
      <c r="CI443" s="331"/>
      <c r="CJ443" s="331"/>
      <c r="CK443" s="331"/>
      <c r="CL443" s="331"/>
      <c r="CM443" s="331"/>
      <c r="CN443" s="331"/>
      <c r="CO443" s="331"/>
      <c r="CP443" s="331"/>
      <c r="CQ443" s="331"/>
      <c r="CR443" s="331"/>
      <c r="CS443" s="331"/>
      <c r="CT443" s="331"/>
      <c r="CU443" s="331"/>
      <c r="CV443" s="331"/>
      <c r="CW443" s="331"/>
      <c r="CX443" s="331"/>
      <c r="CY443" s="331"/>
      <c r="CZ443" s="331"/>
      <c r="DA443" s="331"/>
      <c r="DB443" s="331"/>
      <c r="DC443" s="331"/>
      <c r="DD443" s="331"/>
      <c r="DE443" s="331"/>
      <c r="DF443" s="331"/>
      <c r="DG443" s="331"/>
      <c r="DH443" s="331"/>
      <c r="DI443" s="331"/>
      <c r="DJ443" s="331"/>
      <c r="DK443" s="331"/>
      <c r="DL443" s="331"/>
      <c r="DM443" s="331"/>
      <c r="DN443" s="331"/>
      <c r="DO443" s="331"/>
      <c r="DP443" s="331"/>
      <c r="DQ443" s="331"/>
      <c r="DR443" s="331"/>
      <c r="DS443" s="331"/>
      <c r="DT443" s="331"/>
      <c r="DU443" s="331"/>
      <c r="DV443" s="331"/>
      <c r="DW443" s="331"/>
      <c r="DX443" s="331"/>
      <c r="DY443" s="331"/>
    </row>
    <row r="444" spans="1:129" s="332" customFormat="1" ht="63.75" x14ac:dyDescent="0.25">
      <c r="A444" s="259">
        <v>324</v>
      </c>
      <c r="B444" s="325" t="s">
        <v>979</v>
      </c>
      <c r="C444" s="259"/>
      <c r="D444" s="325"/>
      <c r="E444" s="259">
        <v>4</v>
      </c>
      <c r="F444" s="325" t="s">
        <v>102</v>
      </c>
      <c r="G444" s="259">
        <v>23</v>
      </c>
      <c r="H444" s="325" t="s">
        <v>989</v>
      </c>
      <c r="I444" s="259">
        <v>2301</v>
      </c>
      <c r="J444" s="325" t="s">
        <v>981</v>
      </c>
      <c r="K444" s="259">
        <v>2301004</v>
      </c>
      <c r="L444" s="460" t="s">
        <v>173</v>
      </c>
      <c r="M444" s="287">
        <v>230100400</v>
      </c>
      <c r="N444" s="511" t="s">
        <v>174</v>
      </c>
      <c r="O444" s="272" t="s">
        <v>26</v>
      </c>
      <c r="P444" s="272">
        <v>1</v>
      </c>
      <c r="Q444" s="272">
        <v>0.2</v>
      </c>
      <c r="R444" s="281">
        <v>2024003630004</v>
      </c>
      <c r="S444" s="327" t="s">
        <v>1006</v>
      </c>
      <c r="T444" s="328"/>
      <c r="U444" s="328"/>
      <c r="V444" s="328"/>
      <c r="W444" s="328"/>
      <c r="X444" s="328"/>
      <c r="Y444" s="328"/>
      <c r="Z444" s="328"/>
      <c r="AA444" s="328"/>
      <c r="AB444" s="328"/>
      <c r="AC444" s="328"/>
      <c r="AD444" s="328"/>
      <c r="AE444" s="328"/>
      <c r="AF444" s="328"/>
      <c r="AG444" s="328"/>
      <c r="AH444" s="328"/>
      <c r="AI444" s="328"/>
      <c r="AJ444" s="328"/>
      <c r="AK444" s="328"/>
      <c r="AL444" s="510">
        <v>17400000</v>
      </c>
      <c r="AM444" s="510">
        <v>13936667</v>
      </c>
      <c r="AN444" s="510">
        <v>11100000</v>
      </c>
      <c r="AO444" s="343"/>
      <c r="AP444" s="343"/>
      <c r="AQ444" s="343"/>
      <c r="AR444" s="343"/>
      <c r="AS444" s="343"/>
      <c r="AT444" s="343"/>
      <c r="AU444" s="328">
        <f t="shared" si="27"/>
        <v>17400000</v>
      </c>
      <c r="AV444" s="328">
        <f t="shared" si="28"/>
        <v>13936667</v>
      </c>
      <c r="AW444" s="328">
        <f t="shared" si="29"/>
        <v>11100000</v>
      </c>
      <c r="AX444" s="330" t="s">
        <v>985</v>
      </c>
      <c r="AY444" s="331"/>
      <c r="AZ444" s="331"/>
      <c r="BA444" s="331"/>
      <c r="BB444" s="331"/>
      <c r="BC444" s="331"/>
      <c r="BD444" s="331"/>
      <c r="BE444" s="331"/>
      <c r="BF444" s="331"/>
      <c r="BG444" s="331"/>
      <c r="BH444" s="331"/>
      <c r="BI444" s="331"/>
      <c r="BJ444" s="331"/>
      <c r="BK444" s="331"/>
      <c r="BL444" s="331"/>
      <c r="BM444" s="331"/>
      <c r="BN444" s="331"/>
      <c r="BO444" s="331"/>
      <c r="BP444" s="331"/>
      <c r="BQ444" s="331"/>
      <c r="BR444" s="331"/>
      <c r="BS444" s="331"/>
      <c r="BT444" s="331"/>
      <c r="BU444" s="331"/>
      <c r="BV444" s="331"/>
      <c r="BW444" s="331"/>
      <c r="BX444" s="331"/>
      <c r="BY444" s="331"/>
      <c r="BZ444" s="331"/>
      <c r="CA444" s="331"/>
      <c r="CB444" s="331"/>
      <c r="CC444" s="331"/>
      <c r="CD444" s="331"/>
      <c r="CE444" s="331"/>
      <c r="CF444" s="331"/>
      <c r="CG444" s="331"/>
      <c r="CH444" s="331"/>
      <c r="CI444" s="331"/>
      <c r="CJ444" s="331"/>
      <c r="CK444" s="331"/>
      <c r="CL444" s="331"/>
      <c r="CM444" s="331"/>
      <c r="CN444" s="331"/>
      <c r="CO444" s="331"/>
      <c r="CP444" s="331"/>
      <c r="CQ444" s="331"/>
      <c r="CR444" s="331"/>
      <c r="CS444" s="331"/>
      <c r="CT444" s="331"/>
      <c r="CU444" s="331"/>
      <c r="CV444" s="331"/>
      <c r="CW444" s="331"/>
      <c r="CX444" s="331"/>
      <c r="CY444" s="331"/>
      <c r="CZ444" s="331"/>
      <c r="DA444" s="331"/>
      <c r="DB444" s="331"/>
      <c r="DC444" s="331"/>
      <c r="DD444" s="331"/>
      <c r="DE444" s="331"/>
      <c r="DF444" s="331"/>
      <c r="DG444" s="331"/>
      <c r="DH444" s="331"/>
      <c r="DI444" s="331"/>
      <c r="DJ444" s="331"/>
      <c r="DK444" s="331"/>
      <c r="DL444" s="331"/>
      <c r="DM444" s="331"/>
      <c r="DN444" s="331"/>
      <c r="DO444" s="331"/>
      <c r="DP444" s="331"/>
      <c r="DQ444" s="331"/>
      <c r="DR444" s="331"/>
      <c r="DS444" s="331"/>
      <c r="DT444" s="331"/>
      <c r="DU444" s="331"/>
      <c r="DV444" s="331"/>
      <c r="DW444" s="331"/>
      <c r="DX444" s="331"/>
      <c r="DY444" s="331"/>
    </row>
    <row r="445" spans="1:129" s="332" customFormat="1" ht="63.75" x14ac:dyDescent="0.25">
      <c r="A445" s="277">
        <v>324</v>
      </c>
      <c r="B445" s="325" t="s">
        <v>979</v>
      </c>
      <c r="C445" s="313"/>
      <c r="D445" s="386"/>
      <c r="E445" s="313">
        <v>3</v>
      </c>
      <c r="F445" s="386" t="s">
        <v>147</v>
      </c>
      <c r="G445" s="259">
        <v>23</v>
      </c>
      <c r="H445" s="325" t="s">
        <v>980</v>
      </c>
      <c r="I445" s="259">
        <v>2301</v>
      </c>
      <c r="J445" s="325" t="s">
        <v>981</v>
      </c>
      <c r="K445" s="259">
        <v>2301030</v>
      </c>
      <c r="L445" s="325" t="s">
        <v>999</v>
      </c>
      <c r="M445" s="267">
        <v>230103000</v>
      </c>
      <c r="N445" s="474" t="s">
        <v>1000</v>
      </c>
      <c r="O445" s="282" t="s">
        <v>67</v>
      </c>
      <c r="P445" s="303">
        <v>4625</v>
      </c>
      <c r="Q445" s="303">
        <v>304</v>
      </c>
      <c r="R445" s="281">
        <v>2024003630004</v>
      </c>
      <c r="S445" s="327" t="s">
        <v>1006</v>
      </c>
      <c r="T445" s="328"/>
      <c r="U445" s="328"/>
      <c r="V445" s="328"/>
      <c r="W445" s="328"/>
      <c r="X445" s="328"/>
      <c r="Y445" s="328"/>
      <c r="Z445" s="328"/>
      <c r="AA445" s="328"/>
      <c r="AB445" s="328"/>
      <c r="AC445" s="328"/>
      <c r="AD445" s="328"/>
      <c r="AE445" s="328"/>
      <c r="AF445" s="328"/>
      <c r="AG445" s="328"/>
      <c r="AH445" s="328"/>
      <c r="AI445" s="328"/>
      <c r="AJ445" s="328"/>
      <c r="AK445" s="328"/>
      <c r="AL445" s="510">
        <f>298050005.78-28322654</f>
        <v>269727351.77999997</v>
      </c>
      <c r="AM445" s="510">
        <v>264878333</v>
      </c>
      <c r="AN445" s="510">
        <v>150505000</v>
      </c>
      <c r="AO445" s="343"/>
      <c r="AP445" s="343"/>
      <c r="AQ445" s="343"/>
      <c r="AR445" s="343"/>
      <c r="AS445" s="343"/>
      <c r="AT445" s="343"/>
      <c r="AU445" s="328">
        <f t="shared" si="27"/>
        <v>269727351.77999997</v>
      </c>
      <c r="AV445" s="328">
        <f t="shared" si="28"/>
        <v>264878333</v>
      </c>
      <c r="AW445" s="328">
        <f t="shared" si="29"/>
        <v>150505000</v>
      </c>
      <c r="AX445" s="330" t="s">
        <v>985</v>
      </c>
      <c r="AY445" s="331"/>
      <c r="AZ445" s="331"/>
      <c r="BA445" s="331"/>
      <c r="BB445" s="331"/>
      <c r="BC445" s="331"/>
      <c r="BD445" s="331"/>
      <c r="BE445" s="331"/>
      <c r="BF445" s="331"/>
      <c r="BG445" s="331"/>
      <c r="BH445" s="331"/>
      <c r="BI445" s="331"/>
      <c r="BJ445" s="331"/>
      <c r="BK445" s="331"/>
      <c r="BL445" s="331"/>
      <c r="BM445" s="331"/>
      <c r="BN445" s="331"/>
      <c r="BO445" s="331"/>
      <c r="BP445" s="331"/>
      <c r="BQ445" s="331"/>
      <c r="BR445" s="331"/>
      <c r="BS445" s="331"/>
      <c r="BT445" s="331"/>
      <c r="BU445" s="331"/>
      <c r="BV445" s="331"/>
      <c r="BW445" s="331"/>
      <c r="BX445" s="331"/>
      <c r="BY445" s="331"/>
      <c r="BZ445" s="331"/>
      <c r="CA445" s="331"/>
      <c r="CB445" s="331"/>
      <c r="CC445" s="331"/>
      <c r="CD445" s="331"/>
      <c r="CE445" s="331"/>
      <c r="CF445" s="331"/>
      <c r="CG445" s="331"/>
      <c r="CH445" s="331"/>
      <c r="CI445" s="331"/>
      <c r="CJ445" s="331"/>
      <c r="CK445" s="331"/>
      <c r="CL445" s="331"/>
      <c r="CM445" s="331"/>
      <c r="CN445" s="331"/>
      <c r="CO445" s="331"/>
      <c r="CP445" s="331"/>
      <c r="CQ445" s="331"/>
      <c r="CR445" s="331"/>
      <c r="CS445" s="331"/>
      <c r="CT445" s="331"/>
      <c r="CU445" s="331"/>
      <c r="CV445" s="331"/>
      <c r="CW445" s="331"/>
      <c r="CX445" s="331"/>
      <c r="CY445" s="331"/>
      <c r="CZ445" s="331"/>
      <c r="DA445" s="331"/>
      <c r="DB445" s="331"/>
      <c r="DC445" s="331"/>
      <c r="DD445" s="331"/>
      <c r="DE445" s="331"/>
      <c r="DF445" s="331"/>
      <c r="DG445" s="331"/>
      <c r="DH445" s="331"/>
      <c r="DI445" s="331"/>
      <c r="DJ445" s="331"/>
      <c r="DK445" s="331"/>
      <c r="DL445" s="331"/>
      <c r="DM445" s="331"/>
      <c r="DN445" s="331"/>
      <c r="DO445" s="331"/>
      <c r="DP445" s="331"/>
      <c r="DQ445" s="331"/>
      <c r="DR445" s="331"/>
      <c r="DS445" s="331"/>
      <c r="DT445" s="331"/>
      <c r="DU445" s="331"/>
      <c r="DV445" s="331"/>
      <c r="DW445" s="331"/>
      <c r="DX445" s="331"/>
      <c r="DY445" s="331"/>
    </row>
    <row r="446" spans="1:129" s="332" customFormat="1" ht="89.25" x14ac:dyDescent="0.25">
      <c r="A446" s="277">
        <v>324</v>
      </c>
      <c r="B446" s="325" t="s">
        <v>979</v>
      </c>
      <c r="C446" s="313"/>
      <c r="D446" s="386"/>
      <c r="E446" s="313">
        <v>3</v>
      </c>
      <c r="F446" s="386" t="s">
        <v>147</v>
      </c>
      <c r="G446" s="259">
        <v>23</v>
      </c>
      <c r="H446" s="325" t="s">
        <v>980</v>
      </c>
      <c r="I446" s="259">
        <v>2301</v>
      </c>
      <c r="J446" s="325" t="s">
        <v>981</v>
      </c>
      <c r="K446" s="259">
        <v>2301035</v>
      </c>
      <c r="L446" s="325" t="s">
        <v>1002</v>
      </c>
      <c r="M446" s="267">
        <v>230103500</v>
      </c>
      <c r="N446" s="474" t="s">
        <v>1003</v>
      </c>
      <c r="O446" s="282" t="s">
        <v>67</v>
      </c>
      <c r="P446" s="272">
        <v>100</v>
      </c>
      <c r="Q446" s="272">
        <v>30</v>
      </c>
      <c r="R446" s="281">
        <v>2024003630004</v>
      </c>
      <c r="S446" s="327" t="s">
        <v>1006</v>
      </c>
      <c r="T446" s="328"/>
      <c r="U446" s="328"/>
      <c r="V446" s="328"/>
      <c r="W446" s="328"/>
      <c r="X446" s="328"/>
      <c r="Y446" s="328"/>
      <c r="Z446" s="328"/>
      <c r="AA446" s="328"/>
      <c r="AB446" s="328"/>
      <c r="AC446" s="328"/>
      <c r="AD446" s="328"/>
      <c r="AE446" s="328"/>
      <c r="AF446" s="328"/>
      <c r="AG446" s="328"/>
      <c r="AH446" s="328"/>
      <c r="AI446" s="328"/>
      <c r="AJ446" s="328"/>
      <c r="AK446" s="328"/>
      <c r="AL446" s="512">
        <v>42000000</v>
      </c>
      <c r="AM446" s="512">
        <v>30513333</v>
      </c>
      <c r="AN446" s="512">
        <v>13500000</v>
      </c>
      <c r="AO446" s="343"/>
      <c r="AP446" s="343"/>
      <c r="AQ446" s="343"/>
      <c r="AR446" s="343"/>
      <c r="AS446" s="343"/>
      <c r="AT446" s="343"/>
      <c r="AU446" s="328">
        <f t="shared" si="27"/>
        <v>42000000</v>
      </c>
      <c r="AV446" s="328">
        <f t="shared" si="28"/>
        <v>30513333</v>
      </c>
      <c r="AW446" s="328">
        <f t="shared" si="29"/>
        <v>13500000</v>
      </c>
      <c r="AX446" s="330" t="s">
        <v>985</v>
      </c>
      <c r="AY446" s="331"/>
      <c r="AZ446" s="331"/>
      <c r="BA446" s="331"/>
      <c r="BB446" s="331"/>
      <c r="BC446" s="331"/>
      <c r="BD446" s="331"/>
      <c r="BE446" s="331"/>
      <c r="BF446" s="331"/>
      <c r="BG446" s="331"/>
      <c r="BH446" s="331"/>
      <c r="BI446" s="331"/>
      <c r="BJ446" s="331"/>
      <c r="BK446" s="331"/>
      <c r="BL446" s="331"/>
      <c r="BM446" s="331"/>
      <c r="BN446" s="331"/>
      <c r="BO446" s="331"/>
      <c r="BP446" s="331"/>
      <c r="BQ446" s="331"/>
      <c r="BR446" s="331"/>
      <c r="BS446" s="331"/>
      <c r="BT446" s="331"/>
      <c r="BU446" s="331"/>
      <c r="BV446" s="331"/>
      <c r="BW446" s="331"/>
      <c r="BX446" s="331"/>
      <c r="BY446" s="331"/>
      <c r="BZ446" s="331"/>
      <c r="CA446" s="331"/>
      <c r="CB446" s="331"/>
      <c r="CC446" s="331"/>
      <c r="CD446" s="331"/>
      <c r="CE446" s="331"/>
      <c r="CF446" s="331"/>
      <c r="CG446" s="331"/>
      <c r="CH446" s="331"/>
      <c r="CI446" s="331"/>
      <c r="CJ446" s="331"/>
      <c r="CK446" s="331"/>
      <c r="CL446" s="331"/>
      <c r="CM446" s="331"/>
      <c r="CN446" s="331"/>
      <c r="CO446" s="331"/>
      <c r="CP446" s="331"/>
      <c r="CQ446" s="331"/>
      <c r="CR446" s="331"/>
      <c r="CS446" s="331"/>
      <c r="CT446" s="331"/>
      <c r="CU446" s="331"/>
      <c r="CV446" s="331"/>
      <c r="CW446" s="331"/>
      <c r="CX446" s="331"/>
      <c r="CY446" s="331"/>
      <c r="CZ446" s="331"/>
      <c r="DA446" s="331"/>
      <c r="DB446" s="331"/>
      <c r="DC446" s="331"/>
      <c r="DD446" s="331"/>
      <c r="DE446" s="331"/>
      <c r="DF446" s="331"/>
      <c r="DG446" s="331"/>
      <c r="DH446" s="331"/>
      <c r="DI446" s="331"/>
      <c r="DJ446" s="331"/>
      <c r="DK446" s="331"/>
      <c r="DL446" s="331"/>
      <c r="DM446" s="331"/>
      <c r="DN446" s="331"/>
      <c r="DO446" s="331"/>
      <c r="DP446" s="331"/>
      <c r="DQ446" s="331"/>
      <c r="DR446" s="331"/>
      <c r="DS446" s="331"/>
      <c r="DT446" s="331"/>
      <c r="DU446" s="331"/>
      <c r="DV446" s="331"/>
      <c r="DW446" s="331"/>
      <c r="DX446" s="331"/>
      <c r="DY446" s="331"/>
    </row>
    <row r="447" spans="1:129" s="459" customFormat="1" ht="76.5" x14ac:dyDescent="0.25">
      <c r="A447" s="292">
        <v>324</v>
      </c>
      <c r="B447" s="454" t="s">
        <v>979</v>
      </c>
      <c r="C447" s="292">
        <v>4</v>
      </c>
      <c r="D447" s="454" t="s">
        <v>36</v>
      </c>
      <c r="E447" s="292">
        <v>3</v>
      </c>
      <c r="F447" s="454" t="s">
        <v>147</v>
      </c>
      <c r="G447" s="292">
        <v>23</v>
      </c>
      <c r="H447" s="454" t="s">
        <v>980</v>
      </c>
      <c r="I447" s="292">
        <v>2302</v>
      </c>
      <c r="J447" s="454" t="s">
        <v>1007</v>
      </c>
      <c r="K447" s="292">
        <v>2302033</v>
      </c>
      <c r="L447" s="454" t="s">
        <v>1009</v>
      </c>
      <c r="M447" s="293">
        <v>230203300</v>
      </c>
      <c r="N447" s="453" t="s">
        <v>1010</v>
      </c>
      <c r="O447" s="465" t="s">
        <v>26</v>
      </c>
      <c r="P447" s="299">
        <v>100</v>
      </c>
      <c r="Q447" s="299">
        <v>56</v>
      </c>
      <c r="R447" s="337">
        <v>2020003630141</v>
      </c>
      <c r="S447" s="499" t="s">
        <v>1008</v>
      </c>
      <c r="T447" s="457"/>
      <c r="U447" s="457"/>
      <c r="V447" s="457"/>
      <c r="W447" s="457"/>
      <c r="X447" s="457"/>
      <c r="Y447" s="457"/>
      <c r="Z447" s="457"/>
      <c r="AA447" s="457"/>
      <c r="AB447" s="457"/>
      <c r="AC447" s="457"/>
      <c r="AD447" s="457"/>
      <c r="AE447" s="457"/>
      <c r="AF447" s="457"/>
      <c r="AG447" s="457"/>
      <c r="AH447" s="457"/>
      <c r="AI447" s="457"/>
      <c r="AJ447" s="457"/>
      <c r="AK447" s="457"/>
      <c r="AL447" s="457">
        <v>60000000</v>
      </c>
      <c r="AM447" s="457">
        <v>60000000</v>
      </c>
      <c r="AN447" s="457">
        <v>60000000</v>
      </c>
      <c r="AO447" s="457"/>
      <c r="AP447" s="457"/>
      <c r="AQ447" s="457"/>
      <c r="AR447" s="457"/>
      <c r="AS447" s="457"/>
      <c r="AT447" s="457"/>
      <c r="AU447" s="457">
        <f t="shared" si="27"/>
        <v>60000000</v>
      </c>
      <c r="AV447" s="457">
        <f t="shared" si="28"/>
        <v>60000000</v>
      </c>
      <c r="AW447" s="457">
        <f t="shared" si="29"/>
        <v>60000000</v>
      </c>
      <c r="AX447" s="475" t="s">
        <v>985</v>
      </c>
    </row>
    <row r="448" spans="1:129" s="459" customFormat="1" ht="76.5" x14ac:dyDescent="0.25">
      <c r="A448" s="292">
        <v>324</v>
      </c>
      <c r="B448" s="454" t="s">
        <v>979</v>
      </c>
      <c r="C448" s="292">
        <v>4</v>
      </c>
      <c r="D448" s="454" t="s">
        <v>36</v>
      </c>
      <c r="E448" s="292">
        <v>3</v>
      </c>
      <c r="F448" s="454" t="s">
        <v>147</v>
      </c>
      <c r="G448" s="292">
        <v>23</v>
      </c>
      <c r="H448" s="454" t="s">
        <v>980</v>
      </c>
      <c r="I448" s="292">
        <v>2302</v>
      </c>
      <c r="J448" s="454" t="s">
        <v>1007</v>
      </c>
      <c r="K448" s="292">
        <v>2302066</v>
      </c>
      <c r="L448" s="454" t="s">
        <v>1011</v>
      </c>
      <c r="M448" s="293">
        <v>230206600</v>
      </c>
      <c r="N448" s="453" t="s">
        <v>1012</v>
      </c>
      <c r="O448" s="465" t="s">
        <v>67</v>
      </c>
      <c r="P448" s="299">
        <v>60</v>
      </c>
      <c r="Q448" s="299">
        <v>23</v>
      </c>
      <c r="R448" s="337">
        <v>2020003630141</v>
      </c>
      <c r="S448" s="499" t="s">
        <v>1008</v>
      </c>
      <c r="T448" s="457"/>
      <c r="U448" s="457"/>
      <c r="V448" s="457"/>
      <c r="W448" s="457"/>
      <c r="X448" s="457"/>
      <c r="Y448" s="457"/>
      <c r="Z448" s="457"/>
      <c r="AA448" s="457"/>
      <c r="AB448" s="457"/>
      <c r="AC448" s="457"/>
      <c r="AD448" s="457"/>
      <c r="AE448" s="457"/>
      <c r="AF448" s="457"/>
      <c r="AG448" s="457"/>
      <c r="AH448" s="457"/>
      <c r="AI448" s="457"/>
      <c r="AJ448" s="457"/>
      <c r="AK448" s="457"/>
      <c r="AL448" s="457">
        <v>60000000</v>
      </c>
      <c r="AM448" s="457">
        <v>60000000</v>
      </c>
      <c r="AN448" s="457">
        <v>60000000</v>
      </c>
      <c r="AO448" s="457"/>
      <c r="AP448" s="457"/>
      <c r="AQ448" s="457"/>
      <c r="AR448" s="457"/>
      <c r="AS448" s="457"/>
      <c r="AT448" s="457"/>
      <c r="AU448" s="457">
        <f t="shared" si="27"/>
        <v>60000000</v>
      </c>
      <c r="AV448" s="457">
        <f t="shared" si="28"/>
        <v>60000000</v>
      </c>
      <c r="AW448" s="457">
        <f t="shared" si="29"/>
        <v>60000000</v>
      </c>
      <c r="AX448" s="475" t="s">
        <v>985</v>
      </c>
    </row>
    <row r="449" spans="1:129" s="459" customFormat="1" ht="76.5" x14ac:dyDescent="0.25">
      <c r="A449" s="292">
        <v>324</v>
      </c>
      <c r="B449" s="454" t="s">
        <v>979</v>
      </c>
      <c r="C449" s="292">
        <v>4</v>
      </c>
      <c r="D449" s="454" t="s">
        <v>36</v>
      </c>
      <c r="E449" s="292">
        <v>4</v>
      </c>
      <c r="F449" s="454" t="s">
        <v>102</v>
      </c>
      <c r="G449" s="292">
        <v>23</v>
      </c>
      <c r="H449" s="454" t="s">
        <v>980</v>
      </c>
      <c r="I449" s="292">
        <v>2302</v>
      </c>
      <c r="J449" s="454" t="s">
        <v>1007</v>
      </c>
      <c r="K449" s="292">
        <v>2302004</v>
      </c>
      <c r="L449" s="454" t="s">
        <v>89</v>
      </c>
      <c r="M449" s="293">
        <v>230200403</v>
      </c>
      <c r="N449" s="453" t="s">
        <v>1013</v>
      </c>
      <c r="O449" s="465" t="s">
        <v>26</v>
      </c>
      <c r="P449" s="299">
        <v>1</v>
      </c>
      <c r="Q449" s="299">
        <v>0.6</v>
      </c>
      <c r="R449" s="337">
        <v>2020003630141</v>
      </c>
      <c r="S449" s="499" t="s">
        <v>1008</v>
      </c>
      <c r="T449" s="457"/>
      <c r="U449" s="457"/>
      <c r="V449" s="457"/>
      <c r="W449" s="457"/>
      <c r="X449" s="457"/>
      <c r="Y449" s="457"/>
      <c r="Z449" s="457"/>
      <c r="AA449" s="457"/>
      <c r="AB449" s="457"/>
      <c r="AC449" s="457"/>
      <c r="AD449" s="457"/>
      <c r="AE449" s="457"/>
      <c r="AF449" s="457"/>
      <c r="AG449" s="457"/>
      <c r="AH449" s="457"/>
      <c r="AI449" s="457"/>
      <c r="AJ449" s="457"/>
      <c r="AK449" s="457"/>
      <c r="AL449" s="457">
        <v>35000000</v>
      </c>
      <c r="AM449" s="457">
        <v>35000000</v>
      </c>
      <c r="AN449" s="457">
        <v>35000000</v>
      </c>
      <c r="AO449" s="457"/>
      <c r="AP449" s="457"/>
      <c r="AQ449" s="457"/>
      <c r="AR449" s="457"/>
      <c r="AS449" s="457"/>
      <c r="AT449" s="457"/>
      <c r="AU449" s="457">
        <f t="shared" si="27"/>
        <v>35000000</v>
      </c>
      <c r="AV449" s="457">
        <f t="shared" si="28"/>
        <v>35000000</v>
      </c>
      <c r="AW449" s="457">
        <f t="shared" si="29"/>
        <v>35000000</v>
      </c>
      <c r="AX449" s="475" t="s">
        <v>985</v>
      </c>
    </row>
    <row r="450" spans="1:129" s="459" customFormat="1" ht="114.75" x14ac:dyDescent="0.25">
      <c r="A450" s="292">
        <v>324</v>
      </c>
      <c r="B450" s="454" t="s">
        <v>979</v>
      </c>
      <c r="C450" s="292">
        <v>4</v>
      </c>
      <c r="D450" s="454" t="s">
        <v>36</v>
      </c>
      <c r="E450" s="292">
        <v>4</v>
      </c>
      <c r="F450" s="454" t="s">
        <v>102</v>
      </c>
      <c r="G450" s="292">
        <v>23</v>
      </c>
      <c r="H450" s="454" t="s">
        <v>980</v>
      </c>
      <c r="I450" s="292">
        <v>2302</v>
      </c>
      <c r="J450" s="454" t="s">
        <v>1007</v>
      </c>
      <c r="K450" s="292">
        <v>2302007</v>
      </c>
      <c r="L450" s="454" t="s">
        <v>1014</v>
      </c>
      <c r="M450" s="293">
        <v>230200701</v>
      </c>
      <c r="N450" s="453" t="s">
        <v>1015</v>
      </c>
      <c r="O450" s="465" t="s">
        <v>26</v>
      </c>
      <c r="P450" s="299">
        <v>1</v>
      </c>
      <c r="Q450" s="299">
        <v>0.5</v>
      </c>
      <c r="R450" s="337">
        <v>2020003630141</v>
      </c>
      <c r="S450" s="499" t="s">
        <v>1008</v>
      </c>
      <c r="T450" s="457"/>
      <c r="U450" s="457"/>
      <c r="V450" s="457"/>
      <c r="W450" s="457"/>
      <c r="X450" s="457"/>
      <c r="Y450" s="457"/>
      <c r="Z450" s="457"/>
      <c r="AA450" s="457"/>
      <c r="AB450" s="457"/>
      <c r="AC450" s="457"/>
      <c r="AD450" s="457"/>
      <c r="AE450" s="457"/>
      <c r="AF450" s="457"/>
      <c r="AG450" s="457"/>
      <c r="AH450" s="457"/>
      <c r="AI450" s="457"/>
      <c r="AJ450" s="457"/>
      <c r="AK450" s="457"/>
      <c r="AL450" s="457">
        <v>30000000</v>
      </c>
      <c r="AM450" s="457">
        <v>30000000</v>
      </c>
      <c r="AN450" s="457">
        <v>30000000</v>
      </c>
      <c r="AO450" s="457"/>
      <c r="AP450" s="457"/>
      <c r="AQ450" s="457"/>
      <c r="AR450" s="457"/>
      <c r="AS450" s="457"/>
      <c r="AT450" s="457"/>
      <c r="AU450" s="457">
        <f t="shared" si="27"/>
        <v>30000000</v>
      </c>
      <c r="AV450" s="457">
        <f t="shared" si="28"/>
        <v>30000000</v>
      </c>
      <c r="AW450" s="457">
        <f t="shared" si="29"/>
        <v>30000000</v>
      </c>
      <c r="AX450" s="475" t="s">
        <v>985</v>
      </c>
    </row>
    <row r="451" spans="1:129" s="459" customFormat="1" ht="76.5" x14ac:dyDescent="0.25">
      <c r="A451" s="292">
        <v>324</v>
      </c>
      <c r="B451" s="454" t="s">
        <v>979</v>
      </c>
      <c r="C451" s="292">
        <v>4</v>
      </c>
      <c r="D451" s="454" t="s">
        <v>36</v>
      </c>
      <c r="E451" s="292">
        <v>4</v>
      </c>
      <c r="F451" s="454" t="s">
        <v>102</v>
      </c>
      <c r="G451" s="292">
        <v>23</v>
      </c>
      <c r="H451" s="454" t="s">
        <v>980</v>
      </c>
      <c r="I451" s="292">
        <v>2302</v>
      </c>
      <c r="J451" s="454" t="s">
        <v>1007</v>
      </c>
      <c r="K451" s="292">
        <v>2302083</v>
      </c>
      <c r="L451" s="454" t="s">
        <v>65</v>
      </c>
      <c r="M451" s="293">
        <v>230208300</v>
      </c>
      <c r="N451" s="453" t="s">
        <v>489</v>
      </c>
      <c r="O451" s="465" t="s">
        <v>26</v>
      </c>
      <c r="P451" s="299">
        <v>1</v>
      </c>
      <c r="Q451" s="299">
        <v>0.5</v>
      </c>
      <c r="R451" s="337">
        <v>2020003630141</v>
      </c>
      <c r="S451" s="499" t="s">
        <v>1008</v>
      </c>
      <c r="T451" s="457"/>
      <c r="U451" s="457"/>
      <c r="V451" s="457"/>
      <c r="W451" s="457"/>
      <c r="X451" s="457"/>
      <c r="Y451" s="457"/>
      <c r="Z451" s="457"/>
      <c r="AA451" s="457"/>
      <c r="AB451" s="457"/>
      <c r="AC451" s="457"/>
      <c r="AD451" s="457"/>
      <c r="AE451" s="457"/>
      <c r="AF451" s="457"/>
      <c r="AG451" s="457"/>
      <c r="AH451" s="457"/>
      <c r="AI451" s="457"/>
      <c r="AJ451" s="457"/>
      <c r="AK451" s="457"/>
      <c r="AL451" s="457">
        <f>25000000-258657</f>
        <v>24741343</v>
      </c>
      <c r="AM451" s="457">
        <v>24741343</v>
      </c>
      <c r="AN451" s="457">
        <v>24741343</v>
      </c>
      <c r="AO451" s="457"/>
      <c r="AP451" s="457"/>
      <c r="AQ451" s="457"/>
      <c r="AR451" s="457"/>
      <c r="AS451" s="457"/>
      <c r="AT451" s="457"/>
      <c r="AU451" s="457">
        <f t="shared" si="27"/>
        <v>24741343</v>
      </c>
      <c r="AV451" s="457">
        <f t="shared" si="28"/>
        <v>24741343</v>
      </c>
      <c r="AW451" s="457">
        <f t="shared" si="29"/>
        <v>24741343</v>
      </c>
      <c r="AX451" s="475" t="s">
        <v>985</v>
      </c>
    </row>
    <row r="452" spans="1:129" s="332" customFormat="1" ht="76.5" x14ac:dyDescent="0.25">
      <c r="A452" s="277">
        <v>324</v>
      </c>
      <c r="B452" s="325" t="s">
        <v>979</v>
      </c>
      <c r="C452" s="259"/>
      <c r="D452" s="325"/>
      <c r="E452" s="259">
        <v>4</v>
      </c>
      <c r="F452" s="325" t="s">
        <v>102</v>
      </c>
      <c r="G452" s="259">
        <v>23</v>
      </c>
      <c r="H452" s="325" t="s">
        <v>989</v>
      </c>
      <c r="I452" s="259">
        <v>2302</v>
      </c>
      <c r="J452" s="325" t="s">
        <v>1007</v>
      </c>
      <c r="K452" s="259">
        <v>2302004</v>
      </c>
      <c r="L452" s="325" t="s">
        <v>89</v>
      </c>
      <c r="M452" s="264">
        <v>230200401</v>
      </c>
      <c r="N452" s="333" t="s">
        <v>1016</v>
      </c>
      <c r="O452" s="282" t="s">
        <v>26</v>
      </c>
      <c r="P452" s="272">
        <v>1</v>
      </c>
      <c r="Q452" s="272">
        <v>0.6</v>
      </c>
      <c r="R452" s="281">
        <v>2024003630026</v>
      </c>
      <c r="S452" s="327" t="s">
        <v>1017</v>
      </c>
      <c r="T452" s="328"/>
      <c r="U452" s="328"/>
      <c r="V452" s="328"/>
      <c r="W452" s="328"/>
      <c r="X452" s="328"/>
      <c r="Y452" s="328"/>
      <c r="Z452" s="328"/>
      <c r="AA452" s="328"/>
      <c r="AB452" s="328"/>
      <c r="AC452" s="328"/>
      <c r="AD452" s="328"/>
      <c r="AE452" s="328"/>
      <c r="AF452" s="328"/>
      <c r="AG452" s="328"/>
      <c r="AH452" s="328"/>
      <c r="AI452" s="328"/>
      <c r="AJ452" s="328"/>
      <c r="AK452" s="328"/>
      <c r="AL452" s="512">
        <v>32000000</v>
      </c>
      <c r="AM452" s="512">
        <v>30800000</v>
      </c>
      <c r="AN452" s="512">
        <v>21000000</v>
      </c>
      <c r="AO452" s="328"/>
      <c r="AP452" s="328"/>
      <c r="AQ452" s="328"/>
      <c r="AR452" s="328"/>
      <c r="AS452" s="328"/>
      <c r="AT452" s="328"/>
      <c r="AU452" s="328">
        <f t="shared" si="27"/>
        <v>32000000</v>
      </c>
      <c r="AV452" s="328">
        <f t="shared" si="28"/>
        <v>30800000</v>
      </c>
      <c r="AW452" s="328">
        <f t="shared" si="29"/>
        <v>21000000</v>
      </c>
      <c r="AX452" s="330" t="s">
        <v>985</v>
      </c>
      <c r="AY452" s="331"/>
      <c r="AZ452" s="331"/>
      <c r="BA452" s="331"/>
      <c r="BB452" s="331"/>
      <c r="BC452" s="331"/>
      <c r="BD452" s="331"/>
      <c r="BE452" s="331"/>
      <c r="BF452" s="331"/>
      <c r="BG452" s="331"/>
      <c r="BH452" s="331"/>
      <c r="BI452" s="331"/>
      <c r="BJ452" s="331"/>
      <c r="BK452" s="331"/>
      <c r="BL452" s="331"/>
      <c r="BM452" s="331"/>
      <c r="BN452" s="331"/>
      <c r="BO452" s="331"/>
      <c r="BP452" s="331"/>
      <c r="BQ452" s="331"/>
      <c r="BR452" s="331"/>
      <c r="BS452" s="331"/>
      <c r="BT452" s="331"/>
      <c r="BU452" s="331"/>
      <c r="BV452" s="331"/>
      <c r="BW452" s="331"/>
      <c r="BX452" s="331"/>
      <c r="BY452" s="331"/>
      <c r="BZ452" s="331"/>
      <c r="CA452" s="331"/>
      <c r="CB452" s="331"/>
      <c r="CC452" s="331"/>
      <c r="CD452" s="331"/>
      <c r="CE452" s="331"/>
      <c r="CF452" s="331"/>
      <c r="CG452" s="331"/>
      <c r="CH452" s="331"/>
      <c r="CI452" s="331"/>
      <c r="CJ452" s="331"/>
      <c r="CK452" s="331"/>
      <c r="CL452" s="331"/>
      <c r="CM452" s="331"/>
      <c r="CN452" s="331"/>
      <c r="CO452" s="331"/>
      <c r="CP452" s="331"/>
      <c r="CQ452" s="331"/>
      <c r="CR452" s="331"/>
      <c r="CS452" s="331"/>
      <c r="CT452" s="331"/>
      <c r="CU452" s="331"/>
      <c r="CV452" s="331"/>
      <c r="CW452" s="331"/>
      <c r="CX452" s="331"/>
      <c r="CY452" s="331"/>
      <c r="CZ452" s="331"/>
      <c r="DA452" s="331"/>
      <c r="DB452" s="331"/>
      <c r="DC452" s="331"/>
      <c r="DD452" s="331"/>
      <c r="DE452" s="331"/>
      <c r="DF452" s="331"/>
      <c r="DG452" s="331"/>
      <c r="DH452" s="331"/>
      <c r="DI452" s="331"/>
      <c r="DJ452" s="331"/>
      <c r="DK452" s="331"/>
      <c r="DL452" s="331"/>
      <c r="DM452" s="331"/>
      <c r="DN452" s="331"/>
      <c r="DO452" s="331"/>
      <c r="DP452" s="331"/>
      <c r="DQ452" s="331"/>
      <c r="DR452" s="331"/>
      <c r="DS452" s="331"/>
      <c r="DT452" s="331"/>
      <c r="DU452" s="331"/>
      <c r="DV452" s="331"/>
      <c r="DW452" s="331"/>
      <c r="DX452" s="331"/>
      <c r="DY452" s="331"/>
    </row>
    <row r="453" spans="1:129" s="332" customFormat="1" ht="76.5" x14ac:dyDescent="0.25">
      <c r="A453" s="277">
        <v>324</v>
      </c>
      <c r="B453" s="325" t="s">
        <v>979</v>
      </c>
      <c r="C453" s="259"/>
      <c r="D453" s="386"/>
      <c r="E453" s="259">
        <v>3</v>
      </c>
      <c r="F453" s="386" t="s">
        <v>147</v>
      </c>
      <c r="G453" s="259">
        <v>23</v>
      </c>
      <c r="H453" s="325" t="s">
        <v>980</v>
      </c>
      <c r="I453" s="259">
        <v>2302</v>
      </c>
      <c r="J453" s="325" t="s">
        <v>1007</v>
      </c>
      <c r="K453" s="259">
        <v>2302066</v>
      </c>
      <c r="L453" s="325" t="s">
        <v>1011</v>
      </c>
      <c r="M453" s="264">
        <v>230206600</v>
      </c>
      <c r="N453" s="333" t="s">
        <v>1012</v>
      </c>
      <c r="O453" s="282" t="s">
        <v>67</v>
      </c>
      <c r="P453" s="272">
        <v>150</v>
      </c>
      <c r="Q453" s="272">
        <v>23</v>
      </c>
      <c r="R453" s="281">
        <v>2024003630026</v>
      </c>
      <c r="S453" s="327" t="s">
        <v>1017</v>
      </c>
      <c r="T453" s="328"/>
      <c r="U453" s="328"/>
      <c r="V453" s="328"/>
      <c r="W453" s="328"/>
      <c r="X453" s="328"/>
      <c r="Y453" s="328"/>
      <c r="Z453" s="328"/>
      <c r="AA453" s="328"/>
      <c r="AB453" s="328"/>
      <c r="AC453" s="328"/>
      <c r="AD453" s="328"/>
      <c r="AE453" s="328"/>
      <c r="AF453" s="328"/>
      <c r="AG453" s="328"/>
      <c r="AH453" s="328"/>
      <c r="AI453" s="328"/>
      <c r="AJ453" s="328"/>
      <c r="AK453" s="328"/>
      <c r="AL453" s="512">
        <v>27000000</v>
      </c>
      <c r="AM453" s="512">
        <v>18283333</v>
      </c>
      <c r="AN453" s="512">
        <v>6700000</v>
      </c>
      <c r="AO453" s="328"/>
      <c r="AP453" s="328"/>
      <c r="AQ453" s="328"/>
      <c r="AR453" s="328"/>
      <c r="AS453" s="328"/>
      <c r="AT453" s="328"/>
      <c r="AU453" s="328">
        <f t="shared" si="27"/>
        <v>27000000</v>
      </c>
      <c r="AV453" s="328">
        <f t="shared" si="28"/>
        <v>18283333</v>
      </c>
      <c r="AW453" s="328">
        <f t="shared" si="29"/>
        <v>6700000</v>
      </c>
      <c r="AX453" s="330" t="s">
        <v>985</v>
      </c>
      <c r="AY453" s="331"/>
      <c r="AZ453" s="331"/>
      <c r="BA453" s="331"/>
      <c r="BB453" s="331"/>
      <c r="BC453" s="331"/>
      <c r="BD453" s="331"/>
      <c r="BE453" s="331"/>
      <c r="BF453" s="331"/>
      <c r="BG453" s="331"/>
      <c r="BH453" s="331"/>
      <c r="BI453" s="331"/>
      <c r="BJ453" s="331"/>
      <c r="BK453" s="331"/>
      <c r="BL453" s="331"/>
      <c r="BM453" s="331"/>
      <c r="BN453" s="331"/>
      <c r="BO453" s="331"/>
      <c r="BP453" s="331"/>
      <c r="BQ453" s="331"/>
      <c r="BR453" s="331"/>
      <c r="BS453" s="331"/>
      <c r="BT453" s="331"/>
      <c r="BU453" s="331"/>
      <c r="BV453" s="331"/>
      <c r="BW453" s="331"/>
      <c r="BX453" s="331"/>
      <c r="BY453" s="331"/>
      <c r="BZ453" s="331"/>
      <c r="CA453" s="331"/>
      <c r="CB453" s="331"/>
      <c r="CC453" s="331"/>
      <c r="CD453" s="331"/>
      <c r="CE453" s="331"/>
      <c r="CF453" s="331"/>
      <c r="CG453" s="331"/>
      <c r="CH453" s="331"/>
      <c r="CI453" s="331"/>
      <c r="CJ453" s="331"/>
      <c r="CK453" s="331"/>
      <c r="CL453" s="331"/>
      <c r="CM453" s="331"/>
      <c r="CN453" s="331"/>
      <c r="CO453" s="331"/>
      <c r="CP453" s="331"/>
      <c r="CQ453" s="331"/>
      <c r="CR453" s="331"/>
      <c r="CS453" s="331"/>
      <c r="CT453" s="331"/>
      <c r="CU453" s="331"/>
      <c r="CV453" s="331"/>
      <c r="CW453" s="331"/>
      <c r="CX453" s="331"/>
      <c r="CY453" s="331"/>
      <c r="CZ453" s="331"/>
      <c r="DA453" s="331"/>
      <c r="DB453" s="331"/>
      <c r="DC453" s="331"/>
      <c r="DD453" s="331"/>
      <c r="DE453" s="331"/>
      <c r="DF453" s="331"/>
      <c r="DG453" s="331"/>
      <c r="DH453" s="331"/>
      <c r="DI453" s="331"/>
      <c r="DJ453" s="331"/>
      <c r="DK453" s="331"/>
      <c r="DL453" s="331"/>
      <c r="DM453" s="331"/>
      <c r="DN453" s="331"/>
      <c r="DO453" s="331"/>
      <c r="DP453" s="331"/>
      <c r="DQ453" s="331"/>
      <c r="DR453" s="331"/>
      <c r="DS453" s="331"/>
      <c r="DT453" s="331"/>
      <c r="DU453" s="331"/>
      <c r="DV453" s="331"/>
      <c r="DW453" s="331"/>
      <c r="DX453" s="331"/>
      <c r="DY453" s="331"/>
    </row>
    <row r="454" spans="1:129" s="332" customFormat="1" ht="76.5" x14ac:dyDescent="0.25">
      <c r="A454" s="277">
        <v>324</v>
      </c>
      <c r="B454" s="325" t="s">
        <v>979</v>
      </c>
      <c r="C454" s="259"/>
      <c r="D454" s="386"/>
      <c r="E454" s="259">
        <v>3</v>
      </c>
      <c r="F454" s="386" t="s">
        <v>147</v>
      </c>
      <c r="G454" s="259">
        <v>23</v>
      </c>
      <c r="H454" s="325" t="s">
        <v>980</v>
      </c>
      <c r="I454" s="259">
        <v>2302</v>
      </c>
      <c r="J454" s="325" t="s">
        <v>1007</v>
      </c>
      <c r="K454" s="259">
        <v>2302033</v>
      </c>
      <c r="L454" s="325" t="s">
        <v>1009</v>
      </c>
      <c r="M454" s="264">
        <v>230203300</v>
      </c>
      <c r="N454" s="333" t="s">
        <v>1010</v>
      </c>
      <c r="O454" s="282" t="s">
        <v>67</v>
      </c>
      <c r="P454" s="272">
        <v>150</v>
      </c>
      <c r="Q454" s="272">
        <v>56</v>
      </c>
      <c r="R454" s="281">
        <v>2024003630026</v>
      </c>
      <c r="S454" s="327" t="s">
        <v>1017</v>
      </c>
      <c r="T454" s="328"/>
      <c r="U454" s="328"/>
      <c r="V454" s="328"/>
      <c r="W454" s="328"/>
      <c r="X454" s="328"/>
      <c r="Y454" s="328"/>
      <c r="Z454" s="328"/>
      <c r="AA454" s="328"/>
      <c r="AB454" s="328"/>
      <c r="AC454" s="328"/>
      <c r="AD454" s="328"/>
      <c r="AE454" s="328"/>
      <c r="AF454" s="328"/>
      <c r="AG454" s="328"/>
      <c r="AH454" s="328"/>
      <c r="AI454" s="328"/>
      <c r="AJ454" s="328"/>
      <c r="AK454" s="328"/>
      <c r="AL454" s="512">
        <v>35000000</v>
      </c>
      <c r="AM454" s="512">
        <v>26356667</v>
      </c>
      <c r="AN454" s="512">
        <v>18000000</v>
      </c>
      <c r="AO454" s="328"/>
      <c r="AP454" s="328"/>
      <c r="AQ454" s="328"/>
      <c r="AR454" s="328"/>
      <c r="AS454" s="328"/>
      <c r="AT454" s="328"/>
      <c r="AU454" s="328">
        <f t="shared" si="27"/>
        <v>35000000</v>
      </c>
      <c r="AV454" s="328">
        <f t="shared" si="28"/>
        <v>26356667</v>
      </c>
      <c r="AW454" s="328">
        <f t="shared" si="29"/>
        <v>18000000</v>
      </c>
      <c r="AX454" s="330" t="s">
        <v>985</v>
      </c>
      <c r="AY454" s="331"/>
      <c r="AZ454" s="331"/>
      <c r="BA454" s="331"/>
      <c r="BB454" s="331"/>
      <c r="BC454" s="331"/>
      <c r="BD454" s="331"/>
      <c r="BE454" s="331"/>
      <c r="BF454" s="331"/>
      <c r="BG454" s="331"/>
      <c r="BH454" s="331"/>
      <c r="BI454" s="331"/>
      <c r="BJ454" s="331"/>
      <c r="BK454" s="331"/>
      <c r="BL454" s="331"/>
      <c r="BM454" s="331"/>
      <c r="BN454" s="331"/>
      <c r="BO454" s="331"/>
      <c r="BP454" s="331"/>
      <c r="BQ454" s="331"/>
      <c r="BR454" s="331"/>
      <c r="BS454" s="331"/>
      <c r="BT454" s="331"/>
      <c r="BU454" s="331"/>
      <c r="BV454" s="331"/>
      <c r="BW454" s="331"/>
      <c r="BX454" s="331"/>
      <c r="BY454" s="331"/>
      <c r="BZ454" s="331"/>
      <c r="CA454" s="331"/>
      <c r="CB454" s="331"/>
      <c r="CC454" s="331"/>
      <c r="CD454" s="331"/>
      <c r="CE454" s="331"/>
      <c r="CF454" s="331"/>
      <c r="CG454" s="331"/>
      <c r="CH454" s="331"/>
      <c r="CI454" s="331"/>
      <c r="CJ454" s="331"/>
      <c r="CK454" s="331"/>
      <c r="CL454" s="331"/>
      <c r="CM454" s="331"/>
      <c r="CN454" s="331"/>
      <c r="CO454" s="331"/>
      <c r="CP454" s="331"/>
      <c r="CQ454" s="331"/>
      <c r="CR454" s="331"/>
      <c r="CS454" s="331"/>
      <c r="CT454" s="331"/>
      <c r="CU454" s="331"/>
      <c r="CV454" s="331"/>
      <c r="CW454" s="331"/>
      <c r="CX454" s="331"/>
      <c r="CY454" s="331"/>
      <c r="CZ454" s="331"/>
      <c r="DA454" s="331"/>
      <c r="DB454" s="331"/>
      <c r="DC454" s="331"/>
      <c r="DD454" s="331"/>
      <c r="DE454" s="331"/>
      <c r="DF454" s="331"/>
      <c r="DG454" s="331"/>
      <c r="DH454" s="331"/>
      <c r="DI454" s="331"/>
      <c r="DJ454" s="331"/>
      <c r="DK454" s="331"/>
      <c r="DL454" s="331"/>
      <c r="DM454" s="331"/>
      <c r="DN454" s="331"/>
      <c r="DO454" s="331"/>
      <c r="DP454" s="331"/>
      <c r="DQ454" s="331"/>
      <c r="DR454" s="331"/>
      <c r="DS454" s="331"/>
      <c r="DT454" s="331"/>
      <c r="DU454" s="331"/>
      <c r="DV454" s="331"/>
      <c r="DW454" s="331"/>
      <c r="DX454" s="331"/>
      <c r="DY454" s="331"/>
    </row>
    <row r="455" spans="1:129" s="332" customFormat="1" ht="76.5" x14ac:dyDescent="0.25">
      <c r="A455" s="277">
        <v>324</v>
      </c>
      <c r="B455" s="325" t="s">
        <v>979</v>
      </c>
      <c r="C455" s="259"/>
      <c r="D455" s="325"/>
      <c r="E455" s="259">
        <v>4</v>
      </c>
      <c r="F455" s="325" t="s">
        <v>102</v>
      </c>
      <c r="G455" s="259">
        <v>23</v>
      </c>
      <c r="H455" s="325" t="s">
        <v>980</v>
      </c>
      <c r="I455" s="259">
        <v>2302</v>
      </c>
      <c r="J455" s="325" t="s">
        <v>1007</v>
      </c>
      <c r="K455" s="259">
        <v>2302101</v>
      </c>
      <c r="L455" s="325" t="s">
        <v>1018</v>
      </c>
      <c r="M455" s="264">
        <v>230210100</v>
      </c>
      <c r="N455" s="333" t="s">
        <v>1019</v>
      </c>
      <c r="O455" s="282" t="s">
        <v>67</v>
      </c>
      <c r="P455" s="314">
        <v>0.2</v>
      </c>
      <c r="Q455" s="314">
        <v>0.1</v>
      </c>
      <c r="R455" s="281">
        <v>2024003630026</v>
      </c>
      <c r="S455" s="327" t="s">
        <v>1017</v>
      </c>
      <c r="T455" s="328"/>
      <c r="U455" s="328"/>
      <c r="V455" s="328"/>
      <c r="W455" s="328"/>
      <c r="X455" s="328"/>
      <c r="Y455" s="328"/>
      <c r="Z455" s="328"/>
      <c r="AA455" s="328"/>
      <c r="AB455" s="328"/>
      <c r="AC455" s="328"/>
      <c r="AD455" s="328"/>
      <c r="AE455" s="328"/>
      <c r="AF455" s="328"/>
      <c r="AG455" s="328"/>
      <c r="AH455" s="328"/>
      <c r="AI455" s="328"/>
      <c r="AJ455" s="328"/>
      <c r="AK455" s="328"/>
      <c r="AL455" s="512">
        <v>71000000</v>
      </c>
      <c r="AM455" s="512">
        <v>63186667</v>
      </c>
      <c r="AN455" s="512">
        <v>42300000</v>
      </c>
      <c r="AO455" s="328"/>
      <c r="AP455" s="328"/>
      <c r="AQ455" s="328"/>
      <c r="AR455" s="328"/>
      <c r="AS455" s="328"/>
      <c r="AT455" s="328"/>
      <c r="AU455" s="328">
        <f t="shared" si="27"/>
        <v>71000000</v>
      </c>
      <c r="AV455" s="328">
        <f t="shared" si="28"/>
        <v>63186667</v>
      </c>
      <c r="AW455" s="328">
        <f t="shared" si="29"/>
        <v>42300000</v>
      </c>
      <c r="AX455" s="330" t="s">
        <v>985</v>
      </c>
      <c r="AY455" s="331"/>
      <c r="AZ455" s="331"/>
      <c r="BA455" s="331"/>
      <c r="BB455" s="331"/>
      <c r="BC455" s="331"/>
      <c r="BD455" s="331"/>
      <c r="BE455" s="331"/>
      <c r="BF455" s="331"/>
      <c r="BG455" s="331"/>
      <c r="BH455" s="331"/>
      <c r="BI455" s="331"/>
      <c r="BJ455" s="331"/>
      <c r="BK455" s="331"/>
      <c r="BL455" s="331"/>
      <c r="BM455" s="331"/>
      <c r="BN455" s="331"/>
      <c r="BO455" s="331"/>
      <c r="BP455" s="331"/>
      <c r="BQ455" s="331"/>
      <c r="BR455" s="331"/>
      <c r="BS455" s="331"/>
      <c r="BT455" s="331"/>
      <c r="BU455" s="331"/>
      <c r="BV455" s="331"/>
      <c r="BW455" s="331"/>
      <c r="BX455" s="331"/>
      <c r="BY455" s="331"/>
      <c r="BZ455" s="331"/>
      <c r="CA455" s="331"/>
      <c r="CB455" s="331"/>
      <c r="CC455" s="331"/>
      <c r="CD455" s="331"/>
      <c r="CE455" s="331"/>
      <c r="CF455" s="331"/>
      <c r="CG455" s="331"/>
      <c r="CH455" s="331"/>
      <c r="CI455" s="331"/>
      <c r="CJ455" s="331"/>
      <c r="CK455" s="331"/>
      <c r="CL455" s="331"/>
      <c r="CM455" s="331"/>
      <c r="CN455" s="331"/>
      <c r="CO455" s="331"/>
      <c r="CP455" s="331"/>
      <c r="CQ455" s="331"/>
      <c r="CR455" s="331"/>
      <c r="CS455" s="331"/>
      <c r="CT455" s="331"/>
      <c r="CU455" s="331"/>
      <c r="CV455" s="331"/>
      <c r="CW455" s="331"/>
      <c r="CX455" s="331"/>
      <c r="CY455" s="331"/>
      <c r="CZ455" s="331"/>
      <c r="DA455" s="331"/>
      <c r="DB455" s="331"/>
      <c r="DC455" s="331"/>
      <c r="DD455" s="331"/>
      <c r="DE455" s="331"/>
      <c r="DF455" s="331"/>
      <c r="DG455" s="331"/>
      <c r="DH455" s="331"/>
      <c r="DI455" s="331"/>
      <c r="DJ455" s="331"/>
      <c r="DK455" s="331"/>
      <c r="DL455" s="331"/>
      <c r="DM455" s="331"/>
      <c r="DN455" s="331"/>
      <c r="DO455" s="331"/>
      <c r="DP455" s="331"/>
      <c r="DQ455" s="331"/>
      <c r="DR455" s="331"/>
      <c r="DS455" s="331"/>
      <c r="DT455" s="331"/>
      <c r="DU455" s="331"/>
      <c r="DV455" s="331"/>
      <c r="DW455" s="331"/>
      <c r="DX455" s="331"/>
      <c r="DY455" s="331"/>
    </row>
    <row r="456" spans="1:129" s="332" customFormat="1" ht="76.5" x14ac:dyDescent="0.25">
      <c r="A456" s="277">
        <v>324</v>
      </c>
      <c r="B456" s="325" t="s">
        <v>979</v>
      </c>
      <c r="C456" s="259"/>
      <c r="D456" s="325"/>
      <c r="E456" s="259">
        <v>4</v>
      </c>
      <c r="F456" s="325" t="s">
        <v>102</v>
      </c>
      <c r="G456" s="259">
        <v>23</v>
      </c>
      <c r="H456" s="325" t="s">
        <v>989</v>
      </c>
      <c r="I456" s="259">
        <v>2302</v>
      </c>
      <c r="J456" s="325" t="s">
        <v>1007</v>
      </c>
      <c r="K456" s="259">
        <v>2302083</v>
      </c>
      <c r="L456" s="325" t="s">
        <v>65</v>
      </c>
      <c r="M456" s="264">
        <v>230208300</v>
      </c>
      <c r="N456" s="333" t="s">
        <v>489</v>
      </c>
      <c r="O456" s="282" t="s">
        <v>26</v>
      </c>
      <c r="P456" s="272">
        <v>1</v>
      </c>
      <c r="Q456" s="272">
        <v>0.6</v>
      </c>
      <c r="R456" s="281">
        <v>2024003630026</v>
      </c>
      <c r="S456" s="327" t="s">
        <v>1017</v>
      </c>
      <c r="T456" s="328"/>
      <c r="U456" s="328"/>
      <c r="V456" s="328"/>
      <c r="W456" s="328"/>
      <c r="X456" s="328"/>
      <c r="Y456" s="328"/>
      <c r="Z456" s="328"/>
      <c r="AA456" s="328"/>
      <c r="AB456" s="328"/>
      <c r="AC456" s="328"/>
      <c r="AD456" s="328"/>
      <c r="AE456" s="328"/>
      <c r="AF456" s="328"/>
      <c r="AG456" s="328"/>
      <c r="AH456" s="328"/>
      <c r="AI456" s="328"/>
      <c r="AJ456" s="328"/>
      <c r="AK456" s="328"/>
      <c r="AL456" s="512">
        <v>30258657</v>
      </c>
      <c r="AM456" s="512">
        <v>26683333</v>
      </c>
      <c r="AN456" s="512">
        <v>14800000</v>
      </c>
      <c r="AO456" s="328"/>
      <c r="AP456" s="328"/>
      <c r="AQ456" s="328"/>
      <c r="AR456" s="328"/>
      <c r="AS456" s="328"/>
      <c r="AT456" s="328"/>
      <c r="AU456" s="328">
        <f t="shared" si="27"/>
        <v>30258657</v>
      </c>
      <c r="AV456" s="328">
        <f t="shared" si="28"/>
        <v>26683333</v>
      </c>
      <c r="AW456" s="328">
        <f t="shared" si="29"/>
        <v>14800000</v>
      </c>
      <c r="AX456" s="330" t="s">
        <v>985</v>
      </c>
      <c r="AY456" s="331"/>
      <c r="AZ456" s="331"/>
      <c r="BA456" s="331"/>
      <c r="BB456" s="331"/>
      <c r="BC456" s="331"/>
      <c r="BD456" s="331"/>
      <c r="BE456" s="331"/>
      <c r="BF456" s="331"/>
      <c r="BG456" s="331"/>
      <c r="BH456" s="331"/>
      <c r="BI456" s="331"/>
      <c r="BJ456" s="331"/>
      <c r="BK456" s="331"/>
      <c r="BL456" s="331"/>
      <c r="BM456" s="331"/>
      <c r="BN456" s="331"/>
      <c r="BO456" s="331"/>
      <c r="BP456" s="331"/>
      <c r="BQ456" s="331"/>
      <c r="BR456" s="331"/>
      <c r="BS456" s="331"/>
      <c r="BT456" s="331"/>
      <c r="BU456" s="331"/>
      <c r="BV456" s="331"/>
      <c r="BW456" s="331"/>
      <c r="BX456" s="331"/>
      <c r="BY456" s="331"/>
      <c r="BZ456" s="331"/>
      <c r="CA456" s="331"/>
      <c r="CB456" s="331"/>
      <c r="CC456" s="331"/>
      <c r="CD456" s="331"/>
      <c r="CE456" s="331"/>
      <c r="CF456" s="331"/>
      <c r="CG456" s="331"/>
      <c r="CH456" s="331"/>
      <c r="CI456" s="331"/>
      <c r="CJ456" s="331"/>
      <c r="CK456" s="331"/>
      <c r="CL456" s="331"/>
      <c r="CM456" s="331"/>
      <c r="CN456" s="331"/>
      <c r="CO456" s="331"/>
      <c r="CP456" s="331"/>
      <c r="CQ456" s="331"/>
      <c r="CR456" s="331"/>
      <c r="CS456" s="331"/>
      <c r="CT456" s="331"/>
      <c r="CU456" s="331"/>
      <c r="CV456" s="331"/>
      <c r="CW456" s="331"/>
      <c r="CX456" s="331"/>
      <c r="CY456" s="331"/>
      <c r="CZ456" s="331"/>
      <c r="DA456" s="331"/>
      <c r="DB456" s="331"/>
      <c r="DC456" s="331"/>
      <c r="DD456" s="331"/>
      <c r="DE456" s="331"/>
      <c r="DF456" s="331"/>
      <c r="DG456" s="331"/>
      <c r="DH456" s="331"/>
      <c r="DI456" s="331"/>
      <c r="DJ456" s="331"/>
      <c r="DK456" s="331"/>
      <c r="DL456" s="331"/>
      <c r="DM456" s="331"/>
      <c r="DN456" s="331"/>
      <c r="DO456" s="331"/>
      <c r="DP456" s="331"/>
      <c r="DQ456" s="331"/>
      <c r="DR456" s="331"/>
      <c r="DS456" s="331"/>
      <c r="DT456" s="331"/>
      <c r="DU456" s="331"/>
      <c r="DV456" s="331"/>
      <c r="DW456" s="331"/>
      <c r="DX456" s="331"/>
      <c r="DY456" s="331"/>
    </row>
    <row r="457" spans="1:129" s="332" customFormat="1" ht="114.75" x14ac:dyDescent="0.25">
      <c r="A457" s="277">
        <v>324</v>
      </c>
      <c r="B457" s="325" t="s">
        <v>979</v>
      </c>
      <c r="C457" s="259"/>
      <c r="D457" s="325"/>
      <c r="E457" s="259">
        <v>4</v>
      </c>
      <c r="F457" s="325" t="s">
        <v>102</v>
      </c>
      <c r="G457" s="259">
        <v>23</v>
      </c>
      <c r="H457" s="325" t="s">
        <v>989</v>
      </c>
      <c r="I457" s="259">
        <v>2302</v>
      </c>
      <c r="J457" s="325" t="s">
        <v>1007</v>
      </c>
      <c r="K457" s="259">
        <v>2302007</v>
      </c>
      <c r="L457" s="325" t="s">
        <v>1014</v>
      </c>
      <c r="M457" s="264">
        <v>230200701</v>
      </c>
      <c r="N457" s="333" t="s">
        <v>1015</v>
      </c>
      <c r="O457" s="282" t="s">
        <v>26</v>
      </c>
      <c r="P457" s="272">
        <v>1</v>
      </c>
      <c r="Q457" s="272">
        <v>0.6</v>
      </c>
      <c r="R457" s="281">
        <v>2024003630026</v>
      </c>
      <c r="S457" s="327" t="s">
        <v>1017</v>
      </c>
      <c r="T457" s="328"/>
      <c r="U457" s="328"/>
      <c r="V457" s="328"/>
      <c r="W457" s="328"/>
      <c r="X457" s="328"/>
      <c r="Y457" s="328"/>
      <c r="Z457" s="328"/>
      <c r="AA457" s="328"/>
      <c r="AB457" s="328"/>
      <c r="AC457" s="328"/>
      <c r="AD457" s="328"/>
      <c r="AE457" s="328"/>
      <c r="AF457" s="328"/>
      <c r="AG457" s="328"/>
      <c r="AH457" s="328"/>
      <c r="AI457" s="328"/>
      <c r="AJ457" s="328"/>
      <c r="AK457" s="328"/>
      <c r="AL457" s="512">
        <v>30000000</v>
      </c>
      <c r="AM457" s="512">
        <v>29970000</v>
      </c>
      <c r="AN457" s="512">
        <v>18500000</v>
      </c>
      <c r="AO457" s="328"/>
      <c r="AP457" s="328"/>
      <c r="AQ457" s="328"/>
      <c r="AR457" s="328"/>
      <c r="AS457" s="328"/>
      <c r="AT457" s="328"/>
      <c r="AU457" s="328">
        <f t="shared" si="27"/>
        <v>30000000</v>
      </c>
      <c r="AV457" s="328">
        <f t="shared" si="28"/>
        <v>29970000</v>
      </c>
      <c r="AW457" s="328">
        <f t="shared" si="29"/>
        <v>18500000</v>
      </c>
      <c r="AX457" s="330" t="s">
        <v>985</v>
      </c>
      <c r="AY457" s="331"/>
      <c r="AZ457" s="331"/>
      <c r="BA457" s="331"/>
      <c r="BB457" s="331"/>
      <c r="BC457" s="331"/>
      <c r="BD457" s="331"/>
      <c r="BE457" s="331"/>
      <c r="BF457" s="331"/>
      <c r="BG457" s="331"/>
      <c r="BH457" s="331"/>
      <c r="BI457" s="331"/>
      <c r="BJ457" s="331"/>
      <c r="BK457" s="331"/>
      <c r="BL457" s="331"/>
      <c r="BM457" s="331"/>
      <c r="BN457" s="331"/>
      <c r="BO457" s="331"/>
      <c r="BP457" s="331"/>
      <c r="BQ457" s="331"/>
      <c r="BR457" s="331"/>
      <c r="BS457" s="331"/>
      <c r="BT457" s="331"/>
      <c r="BU457" s="331"/>
      <c r="BV457" s="331"/>
      <c r="BW457" s="331"/>
      <c r="BX457" s="331"/>
      <c r="BY457" s="331"/>
      <c r="BZ457" s="331"/>
      <c r="CA457" s="331"/>
      <c r="CB457" s="331"/>
      <c r="CC457" s="331"/>
      <c r="CD457" s="331"/>
      <c r="CE457" s="331"/>
      <c r="CF457" s="331"/>
      <c r="CG457" s="331"/>
      <c r="CH457" s="331"/>
      <c r="CI457" s="331"/>
      <c r="CJ457" s="331"/>
      <c r="CK457" s="331"/>
      <c r="CL457" s="331"/>
      <c r="CM457" s="331"/>
      <c r="CN457" s="331"/>
      <c r="CO457" s="331"/>
      <c r="CP457" s="331"/>
      <c r="CQ457" s="331"/>
      <c r="CR457" s="331"/>
      <c r="CS457" s="331"/>
      <c r="CT457" s="331"/>
      <c r="CU457" s="331"/>
      <c r="CV457" s="331"/>
      <c r="CW457" s="331"/>
      <c r="CX457" s="331"/>
      <c r="CY457" s="331"/>
      <c r="CZ457" s="331"/>
      <c r="DA457" s="331"/>
      <c r="DB457" s="331"/>
      <c r="DC457" s="331"/>
      <c r="DD457" s="331"/>
      <c r="DE457" s="331"/>
      <c r="DF457" s="331"/>
      <c r="DG457" s="331"/>
      <c r="DH457" s="331"/>
      <c r="DI457" s="331"/>
      <c r="DJ457" s="331"/>
      <c r="DK457" s="331"/>
      <c r="DL457" s="331"/>
      <c r="DM457" s="331"/>
      <c r="DN457" s="331"/>
      <c r="DO457" s="331"/>
      <c r="DP457" s="331"/>
      <c r="DQ457" s="331"/>
      <c r="DR457" s="331"/>
      <c r="DS457" s="331"/>
      <c r="DT457" s="331"/>
      <c r="DU457" s="331"/>
      <c r="DV457" s="331"/>
      <c r="DW457" s="331"/>
      <c r="DX457" s="331"/>
      <c r="DY457" s="331"/>
    </row>
    <row r="458" spans="1:129" ht="63.75" x14ac:dyDescent="0.2">
      <c r="A458" s="257">
        <v>319</v>
      </c>
      <c r="B458" s="376" t="s">
        <v>1020</v>
      </c>
      <c r="C458" s="257">
        <v>1</v>
      </c>
      <c r="D458" s="376" t="s">
        <v>105</v>
      </c>
      <c r="E458" s="257">
        <v>1</v>
      </c>
      <c r="F458" s="376" t="s">
        <v>112</v>
      </c>
      <c r="G458" s="257">
        <v>43</v>
      </c>
      <c r="H458" s="376" t="s">
        <v>134</v>
      </c>
      <c r="I458" s="257">
        <v>4301</v>
      </c>
      <c r="J458" s="376" t="s">
        <v>135</v>
      </c>
      <c r="K458" s="257">
        <v>4301007</v>
      </c>
      <c r="L458" s="376" t="s">
        <v>1021</v>
      </c>
      <c r="M458" s="257">
        <v>430100701</v>
      </c>
      <c r="N458" s="388" t="s">
        <v>1022</v>
      </c>
      <c r="O458" s="382" t="s">
        <v>26</v>
      </c>
      <c r="P458" s="280">
        <v>12</v>
      </c>
      <c r="Q458" s="280">
        <v>12</v>
      </c>
      <c r="R458" s="380">
        <v>2020003630009</v>
      </c>
      <c r="S458" s="500" t="s">
        <v>1023</v>
      </c>
      <c r="T458" s="513">
        <v>47800000</v>
      </c>
      <c r="U458" s="513">
        <v>47800000</v>
      </c>
      <c r="V458" s="513">
        <v>47800000</v>
      </c>
      <c r="W458" s="513">
        <v>68963333.340000004</v>
      </c>
      <c r="X458" s="513">
        <v>68963333.340000004</v>
      </c>
      <c r="Y458" s="513">
        <v>68963333.340000004</v>
      </c>
      <c r="Z458" s="513"/>
      <c r="AA458" s="513"/>
      <c r="AB458" s="513"/>
      <c r="AC458" s="513">
        <v>119343419.01000011</v>
      </c>
      <c r="AD458" s="513">
        <v>119343419.01000001</v>
      </c>
      <c r="AE458" s="513">
        <f>AD458</f>
        <v>119343419.01000001</v>
      </c>
      <c r="AF458" s="514"/>
      <c r="AG458" s="514"/>
      <c r="AH458" s="514"/>
      <c r="AI458" s="513"/>
      <c r="AJ458" s="513"/>
      <c r="AK458" s="513"/>
      <c r="AL458" s="515"/>
      <c r="AM458" s="515"/>
      <c r="AN458" s="515"/>
      <c r="AO458" s="513"/>
      <c r="AP458" s="513"/>
      <c r="AQ458" s="513"/>
      <c r="AR458" s="513"/>
      <c r="AS458" s="513"/>
      <c r="AT458" s="513"/>
      <c r="AU458" s="516">
        <f t="shared" si="27"/>
        <v>236106752.35000011</v>
      </c>
      <c r="AV458" s="516">
        <f t="shared" si="28"/>
        <v>236106752.35000002</v>
      </c>
      <c r="AW458" s="516">
        <f t="shared" si="29"/>
        <v>236106752.35000002</v>
      </c>
      <c r="AX458" s="517" t="s">
        <v>1024</v>
      </c>
      <c r="AZ458" s="331"/>
    </row>
    <row r="459" spans="1:129" ht="89.25" x14ac:dyDescent="0.2">
      <c r="A459" s="257">
        <v>319</v>
      </c>
      <c r="B459" s="376" t="s">
        <v>1020</v>
      </c>
      <c r="C459" s="257">
        <v>1</v>
      </c>
      <c r="D459" s="376" t="s">
        <v>105</v>
      </c>
      <c r="E459" s="257">
        <v>1</v>
      </c>
      <c r="F459" s="376" t="s">
        <v>112</v>
      </c>
      <c r="G459" s="257">
        <v>43</v>
      </c>
      <c r="H459" s="376" t="s">
        <v>134</v>
      </c>
      <c r="I459" s="257">
        <v>4301</v>
      </c>
      <c r="J459" s="376" t="s">
        <v>135</v>
      </c>
      <c r="K459" s="257">
        <v>4301037</v>
      </c>
      <c r="L459" s="376" t="s">
        <v>1025</v>
      </c>
      <c r="M459" s="257">
        <v>430103704</v>
      </c>
      <c r="N459" s="388" t="s">
        <v>1026</v>
      </c>
      <c r="O459" s="382" t="s">
        <v>26</v>
      </c>
      <c r="P459" s="280">
        <v>12</v>
      </c>
      <c r="Q459" s="280">
        <v>12</v>
      </c>
      <c r="R459" s="380">
        <v>2020003630009</v>
      </c>
      <c r="S459" s="500" t="s">
        <v>1023</v>
      </c>
      <c r="T459" s="513">
        <v>138596666.66999999</v>
      </c>
      <c r="U459" s="513">
        <v>138596666.67000002</v>
      </c>
      <c r="V459" s="513">
        <v>138596666.67000002</v>
      </c>
      <c r="W459" s="513">
        <v>280899515.23000002</v>
      </c>
      <c r="X459" s="513">
        <v>280899515.23000002</v>
      </c>
      <c r="Y459" s="513">
        <v>280899515.23000002</v>
      </c>
      <c r="Z459" s="513"/>
      <c r="AA459" s="513"/>
      <c r="AB459" s="513"/>
      <c r="AC459" s="513">
        <v>137056363.36000001</v>
      </c>
      <c r="AD459" s="513">
        <v>137056363.36000001</v>
      </c>
      <c r="AE459" s="513">
        <v>137056363.35999998</v>
      </c>
      <c r="AF459" s="513"/>
      <c r="AG459" s="513"/>
      <c r="AH459" s="513"/>
      <c r="AI459" s="513"/>
      <c r="AJ459" s="513"/>
      <c r="AK459" s="513"/>
      <c r="AL459" s="381">
        <v>169900606</v>
      </c>
      <c r="AM459" s="381">
        <v>169886065.78999999</v>
      </c>
      <c r="AN459" s="381">
        <v>168237888.78999999</v>
      </c>
      <c r="AO459" s="513"/>
      <c r="AP459" s="513"/>
      <c r="AQ459" s="513"/>
      <c r="AR459" s="513"/>
      <c r="AS459" s="513"/>
      <c r="AT459" s="513"/>
      <c r="AU459" s="518">
        <f t="shared" si="27"/>
        <v>726453151.25999999</v>
      </c>
      <c r="AV459" s="518">
        <f t="shared" si="28"/>
        <v>726438611.04999995</v>
      </c>
      <c r="AW459" s="518">
        <f t="shared" si="29"/>
        <v>724790434.04999995</v>
      </c>
      <c r="AX459" s="382" t="s">
        <v>1024</v>
      </c>
      <c r="AZ459" s="331"/>
    </row>
    <row r="460" spans="1:129" ht="63.75" x14ac:dyDescent="0.2">
      <c r="A460" s="277">
        <v>319</v>
      </c>
      <c r="B460" s="325" t="s">
        <v>1020</v>
      </c>
      <c r="C460" s="259"/>
      <c r="D460" s="325"/>
      <c r="E460" s="259">
        <v>1</v>
      </c>
      <c r="F460" s="325" t="s">
        <v>112</v>
      </c>
      <c r="G460" s="259" t="s">
        <v>139</v>
      </c>
      <c r="H460" s="325" t="s">
        <v>134</v>
      </c>
      <c r="I460" s="259" t="s">
        <v>140</v>
      </c>
      <c r="J460" s="325" t="s">
        <v>141</v>
      </c>
      <c r="K460" s="259" t="s">
        <v>1027</v>
      </c>
      <c r="L460" s="325" t="s">
        <v>1021</v>
      </c>
      <c r="M460" s="264">
        <v>430100700</v>
      </c>
      <c r="N460" s="333" t="s">
        <v>1028</v>
      </c>
      <c r="O460" s="282" t="s">
        <v>26</v>
      </c>
      <c r="P460" s="272">
        <v>650</v>
      </c>
      <c r="Q460" s="272">
        <v>650</v>
      </c>
      <c r="R460" s="281">
        <v>2024003630029</v>
      </c>
      <c r="S460" s="327" t="s">
        <v>1029</v>
      </c>
      <c r="T460" s="328">
        <v>359822751.27999997</v>
      </c>
      <c r="U460" s="328">
        <v>64169888</v>
      </c>
      <c r="V460" s="328">
        <v>6000000</v>
      </c>
      <c r="W460" s="328">
        <v>51036666.659999996</v>
      </c>
      <c r="X460" s="328">
        <v>6300000</v>
      </c>
      <c r="Y460" s="328">
        <v>4200000</v>
      </c>
      <c r="Z460" s="328"/>
      <c r="AA460" s="328"/>
      <c r="AB460" s="328"/>
      <c r="AC460" s="328">
        <f>6000000+65449910.82</f>
        <v>71449910.819999993</v>
      </c>
      <c r="AD460" s="328">
        <v>48500000</v>
      </c>
      <c r="AE460" s="328">
        <v>33000000</v>
      </c>
      <c r="AF460" s="328"/>
      <c r="AG460" s="328"/>
      <c r="AH460" s="328"/>
      <c r="AI460" s="328"/>
      <c r="AJ460" s="328"/>
      <c r="AK460" s="328"/>
      <c r="AL460" s="512">
        <v>94000000</v>
      </c>
      <c r="AM460" s="512">
        <v>70200000</v>
      </c>
      <c r="AN460" s="512">
        <v>40500000</v>
      </c>
      <c r="AO460" s="328"/>
      <c r="AP460" s="328"/>
      <c r="AQ460" s="328"/>
      <c r="AR460" s="328">
        <f>250000000-250000000</f>
        <v>0</v>
      </c>
      <c r="AS460" s="328"/>
      <c r="AT460" s="328"/>
      <c r="AU460" s="328">
        <f t="shared" si="27"/>
        <v>576309328.75999999</v>
      </c>
      <c r="AV460" s="328">
        <f t="shared" si="28"/>
        <v>189169888</v>
      </c>
      <c r="AW460" s="328">
        <f t="shared" si="29"/>
        <v>83700000</v>
      </c>
      <c r="AX460" s="330" t="s">
        <v>1024</v>
      </c>
      <c r="AZ460" s="331"/>
    </row>
    <row r="461" spans="1:129" ht="63.75" x14ac:dyDescent="0.2">
      <c r="A461" s="277">
        <v>319</v>
      </c>
      <c r="B461" s="325" t="s">
        <v>1020</v>
      </c>
      <c r="C461" s="259"/>
      <c r="D461" s="325"/>
      <c r="E461" s="259">
        <v>1</v>
      </c>
      <c r="F461" s="325" t="s">
        <v>112</v>
      </c>
      <c r="G461" s="259" t="s">
        <v>139</v>
      </c>
      <c r="H461" s="325" t="s">
        <v>134</v>
      </c>
      <c r="I461" s="259" t="s">
        <v>140</v>
      </c>
      <c r="J461" s="325" t="s">
        <v>141</v>
      </c>
      <c r="K461" s="259" t="s">
        <v>1027</v>
      </c>
      <c r="L461" s="325" t="s">
        <v>1021</v>
      </c>
      <c r="M461" s="264" t="s">
        <v>1030</v>
      </c>
      <c r="N461" s="333" t="s">
        <v>1022</v>
      </c>
      <c r="O461" s="282" t="s">
        <v>26</v>
      </c>
      <c r="P461" s="272">
        <v>12</v>
      </c>
      <c r="Q461" s="272">
        <v>12</v>
      </c>
      <c r="R461" s="281">
        <v>2024003630029</v>
      </c>
      <c r="S461" s="327" t="s">
        <v>1029</v>
      </c>
      <c r="T461" s="328">
        <v>30000000</v>
      </c>
      <c r="U461" s="328"/>
      <c r="V461" s="328"/>
      <c r="W461" s="328"/>
      <c r="X461" s="328"/>
      <c r="Y461" s="328"/>
      <c r="Z461" s="328"/>
      <c r="AA461" s="328"/>
      <c r="AB461" s="328"/>
      <c r="AC461" s="328">
        <v>790145378.13999999</v>
      </c>
      <c r="AD461" s="328">
        <v>357051850.00999993</v>
      </c>
      <c r="AE461" s="328">
        <v>357051850.00999999</v>
      </c>
      <c r="AF461" s="328"/>
      <c r="AG461" s="328"/>
      <c r="AH461" s="328"/>
      <c r="AI461" s="328"/>
      <c r="AJ461" s="328"/>
      <c r="AK461" s="328"/>
      <c r="AL461" s="512">
        <v>6000000</v>
      </c>
      <c r="AM461" s="512">
        <v>5000000</v>
      </c>
      <c r="AN461" s="512">
        <v>3000000</v>
      </c>
      <c r="AO461" s="328"/>
      <c r="AP461" s="328"/>
      <c r="AQ461" s="328"/>
      <c r="AR461" s="328">
        <f>50000000-50000000</f>
        <v>0</v>
      </c>
      <c r="AS461" s="328"/>
      <c r="AT461" s="328"/>
      <c r="AU461" s="328">
        <f t="shared" si="27"/>
        <v>826145378.13999999</v>
      </c>
      <c r="AV461" s="328">
        <f t="shared" si="28"/>
        <v>362051850.00999993</v>
      </c>
      <c r="AW461" s="328">
        <f t="shared" si="29"/>
        <v>360051850.00999999</v>
      </c>
      <c r="AX461" s="330" t="s">
        <v>1024</v>
      </c>
      <c r="AZ461" s="331"/>
    </row>
    <row r="462" spans="1:129" ht="63.75" x14ac:dyDescent="0.2">
      <c r="A462" s="277">
        <v>319</v>
      </c>
      <c r="B462" s="325" t="s">
        <v>1020</v>
      </c>
      <c r="C462" s="259"/>
      <c r="D462" s="325"/>
      <c r="E462" s="259">
        <v>1</v>
      </c>
      <c r="F462" s="325" t="s">
        <v>112</v>
      </c>
      <c r="G462" s="259">
        <v>43</v>
      </c>
      <c r="H462" s="325" t="s">
        <v>134</v>
      </c>
      <c r="I462" s="259">
        <v>4301</v>
      </c>
      <c r="J462" s="325" t="s">
        <v>141</v>
      </c>
      <c r="K462" s="259">
        <v>4301032</v>
      </c>
      <c r="L462" s="325" t="s">
        <v>1031</v>
      </c>
      <c r="M462" s="264">
        <v>430103201</v>
      </c>
      <c r="N462" s="333" t="s">
        <v>470</v>
      </c>
      <c r="O462" s="282" t="s">
        <v>26</v>
      </c>
      <c r="P462" s="272">
        <v>4000</v>
      </c>
      <c r="Q462" s="272">
        <v>776</v>
      </c>
      <c r="R462" s="281">
        <v>2024003630029</v>
      </c>
      <c r="S462" s="327" t="s">
        <v>1029</v>
      </c>
      <c r="T462" s="328">
        <v>16900000</v>
      </c>
      <c r="U462" s="328">
        <v>16900000</v>
      </c>
      <c r="V462" s="328">
        <v>4600000</v>
      </c>
      <c r="W462" s="328"/>
      <c r="X462" s="328"/>
      <c r="Y462" s="328"/>
      <c r="Z462" s="328"/>
      <c r="AA462" s="328"/>
      <c r="AB462" s="328"/>
      <c r="AC462" s="328">
        <v>25000000</v>
      </c>
      <c r="AD462" s="328"/>
      <c r="AE462" s="328"/>
      <c r="AF462" s="328"/>
      <c r="AG462" s="328"/>
      <c r="AH462" s="328"/>
      <c r="AI462" s="328"/>
      <c r="AJ462" s="328"/>
      <c r="AK462" s="328"/>
      <c r="AL462" s="512">
        <v>42000000</v>
      </c>
      <c r="AM462" s="512">
        <v>18280000.66</v>
      </c>
      <c r="AN462" s="512">
        <v>15400000</v>
      </c>
      <c r="AO462" s="328"/>
      <c r="AP462" s="328"/>
      <c r="AQ462" s="328"/>
      <c r="AR462" s="328"/>
      <c r="AS462" s="328"/>
      <c r="AT462" s="328"/>
      <c r="AU462" s="328">
        <f>SUM(T462,W462,Z462,AC462,AF462,AI462,AL462,AO462,AR462)</f>
        <v>83900000</v>
      </c>
      <c r="AV462" s="328">
        <f t="shared" si="28"/>
        <v>35180000.659999996</v>
      </c>
      <c r="AW462" s="328">
        <f t="shared" si="29"/>
        <v>20000000</v>
      </c>
      <c r="AX462" s="330" t="s">
        <v>1024</v>
      </c>
      <c r="AZ462" s="331"/>
    </row>
    <row r="463" spans="1:129" ht="63.75" x14ac:dyDescent="0.2">
      <c r="A463" s="277">
        <v>319</v>
      </c>
      <c r="B463" s="325" t="s">
        <v>1020</v>
      </c>
      <c r="C463" s="259"/>
      <c r="D463" s="325"/>
      <c r="E463" s="259">
        <v>1</v>
      </c>
      <c r="F463" s="325" t="s">
        <v>112</v>
      </c>
      <c r="G463" s="259" t="s">
        <v>139</v>
      </c>
      <c r="H463" s="325" t="s">
        <v>134</v>
      </c>
      <c r="I463" s="259" t="s">
        <v>140</v>
      </c>
      <c r="J463" s="325" t="s">
        <v>141</v>
      </c>
      <c r="K463" s="259" t="s">
        <v>1032</v>
      </c>
      <c r="L463" s="325" t="s">
        <v>1033</v>
      </c>
      <c r="M463" s="264" t="s">
        <v>1034</v>
      </c>
      <c r="N463" s="333" t="s">
        <v>294</v>
      </c>
      <c r="O463" s="282" t="s">
        <v>26</v>
      </c>
      <c r="P463" s="272">
        <v>300</v>
      </c>
      <c r="Q463" s="272">
        <v>0</v>
      </c>
      <c r="R463" s="281">
        <v>2024003630029</v>
      </c>
      <c r="S463" s="327" t="s">
        <v>1029</v>
      </c>
      <c r="T463" s="328">
        <v>10000000</v>
      </c>
      <c r="U463" s="328">
        <v>8000000</v>
      </c>
      <c r="V463" s="328">
        <v>8000000</v>
      </c>
      <c r="W463" s="328"/>
      <c r="X463" s="328"/>
      <c r="Y463" s="328"/>
      <c r="Z463" s="328"/>
      <c r="AA463" s="328"/>
      <c r="AB463" s="328"/>
      <c r="AC463" s="328"/>
      <c r="AD463" s="328"/>
      <c r="AE463" s="328"/>
      <c r="AF463" s="328"/>
      <c r="AG463" s="328"/>
      <c r="AH463" s="328"/>
      <c r="AI463" s="328"/>
      <c r="AJ463" s="328"/>
      <c r="AK463" s="328"/>
      <c r="AL463" s="512"/>
      <c r="AM463" s="512"/>
      <c r="AN463" s="512"/>
      <c r="AO463" s="328"/>
      <c r="AP463" s="328"/>
      <c r="AQ463" s="328"/>
      <c r="AR463" s="328"/>
      <c r="AS463" s="328"/>
      <c r="AT463" s="328"/>
      <c r="AU463" s="328">
        <f t="shared" si="27"/>
        <v>10000000</v>
      </c>
      <c r="AV463" s="328">
        <f t="shared" si="28"/>
        <v>8000000</v>
      </c>
      <c r="AW463" s="328">
        <f t="shared" si="28"/>
        <v>8000000</v>
      </c>
      <c r="AX463" s="330" t="s">
        <v>1024</v>
      </c>
      <c r="AZ463" s="331"/>
    </row>
    <row r="464" spans="1:129" ht="76.5" x14ac:dyDescent="0.2">
      <c r="A464" s="277">
        <v>319</v>
      </c>
      <c r="B464" s="325" t="s">
        <v>1020</v>
      </c>
      <c r="C464" s="259"/>
      <c r="D464" s="325"/>
      <c r="E464" s="259">
        <v>1</v>
      </c>
      <c r="F464" s="325" t="s">
        <v>112</v>
      </c>
      <c r="G464" s="259" t="s">
        <v>139</v>
      </c>
      <c r="H464" s="325" t="s">
        <v>134</v>
      </c>
      <c r="I464" s="259" t="s">
        <v>140</v>
      </c>
      <c r="J464" s="325" t="s">
        <v>141</v>
      </c>
      <c r="K464" s="259" t="s">
        <v>1035</v>
      </c>
      <c r="L464" s="325" t="s">
        <v>1025</v>
      </c>
      <c r="M464" s="264">
        <v>430103700</v>
      </c>
      <c r="N464" s="333" t="s">
        <v>1036</v>
      </c>
      <c r="O464" s="282" t="s">
        <v>26</v>
      </c>
      <c r="P464" s="272">
        <v>15000</v>
      </c>
      <c r="Q464" s="272">
        <v>4144</v>
      </c>
      <c r="R464" s="281">
        <v>2024003630029</v>
      </c>
      <c r="S464" s="327" t="s">
        <v>1029</v>
      </c>
      <c r="T464" s="328">
        <v>1083557922.27</v>
      </c>
      <c r="U464" s="328">
        <v>586745050.76999998</v>
      </c>
      <c r="V464" s="328">
        <v>411795050.77000004</v>
      </c>
      <c r="W464" s="328">
        <f>199187538.52+4685230</f>
        <v>203872768.52000001</v>
      </c>
      <c r="X464" s="328">
        <v>65285230</v>
      </c>
      <c r="Y464" s="328">
        <v>45085230</v>
      </c>
      <c r="Z464" s="328"/>
      <c r="AA464" s="328"/>
      <c r="AB464" s="328"/>
      <c r="AC464" s="328">
        <f>16033333.33+10000000</f>
        <v>26033333.329999998</v>
      </c>
      <c r="AD464" s="328">
        <v>0</v>
      </c>
      <c r="AE464" s="328">
        <v>0</v>
      </c>
      <c r="AF464" s="328"/>
      <c r="AG464" s="328"/>
      <c r="AH464" s="328"/>
      <c r="AI464" s="328"/>
      <c r="AJ464" s="328"/>
      <c r="AK464" s="328"/>
      <c r="AL464" s="512">
        <v>86767912.069999993</v>
      </c>
      <c r="AM464" s="512">
        <v>47600871.849999994</v>
      </c>
      <c r="AN464" s="512">
        <v>29305000</v>
      </c>
      <c r="AO464" s="328"/>
      <c r="AP464" s="328"/>
      <c r="AQ464" s="328"/>
      <c r="AR464" s="328">
        <f>700000000-700000000</f>
        <v>0</v>
      </c>
      <c r="AS464" s="328">
        <v>0</v>
      </c>
      <c r="AT464" s="328">
        <v>0</v>
      </c>
      <c r="AU464" s="328">
        <f t="shared" si="27"/>
        <v>1400231936.1899998</v>
      </c>
      <c r="AV464" s="328">
        <f t="shared" si="28"/>
        <v>699631152.62</v>
      </c>
      <c r="AW464" s="328">
        <f t="shared" si="29"/>
        <v>486185280.77000004</v>
      </c>
      <c r="AX464" s="330" t="s">
        <v>1024</v>
      </c>
      <c r="AZ464" s="331"/>
    </row>
    <row r="465" spans="1:129" ht="89.25" x14ac:dyDescent="0.2">
      <c r="A465" s="277">
        <v>319</v>
      </c>
      <c r="B465" s="325" t="s">
        <v>1020</v>
      </c>
      <c r="C465" s="259"/>
      <c r="D465" s="325"/>
      <c r="E465" s="259">
        <v>1</v>
      </c>
      <c r="F465" s="325" t="s">
        <v>112</v>
      </c>
      <c r="G465" s="259" t="s">
        <v>139</v>
      </c>
      <c r="H465" s="325" t="s">
        <v>134</v>
      </c>
      <c r="I465" s="259" t="s">
        <v>140</v>
      </c>
      <c r="J465" s="325" t="s">
        <v>141</v>
      </c>
      <c r="K465" s="259" t="s">
        <v>1035</v>
      </c>
      <c r="L465" s="325" t="s">
        <v>1025</v>
      </c>
      <c r="M465" s="264">
        <v>430103704</v>
      </c>
      <c r="N465" s="333" t="s">
        <v>1037</v>
      </c>
      <c r="O465" s="282" t="s">
        <v>26</v>
      </c>
      <c r="P465" s="272">
        <v>12</v>
      </c>
      <c r="Q465" s="272">
        <v>12</v>
      </c>
      <c r="R465" s="281">
        <v>2024003630029</v>
      </c>
      <c r="S465" s="327" t="s">
        <v>1029</v>
      </c>
      <c r="T465" s="328"/>
      <c r="U465" s="328"/>
      <c r="V465" s="328"/>
      <c r="W465" s="328"/>
      <c r="X465" s="328"/>
      <c r="Y465" s="328"/>
      <c r="Z465" s="328"/>
      <c r="AA465" s="328"/>
      <c r="AB465" s="328"/>
      <c r="AC465" s="328"/>
      <c r="AD465" s="328"/>
      <c r="AE465" s="328"/>
      <c r="AF465" s="328"/>
      <c r="AG465" s="328"/>
      <c r="AH465" s="328"/>
      <c r="AI465" s="328"/>
      <c r="AJ465" s="328"/>
      <c r="AK465" s="328"/>
      <c r="AL465" s="512">
        <v>150000000</v>
      </c>
      <c r="AM465" s="512">
        <v>55760000</v>
      </c>
      <c r="AN465" s="512">
        <v>43280000</v>
      </c>
      <c r="AO465" s="328"/>
      <c r="AP465" s="328"/>
      <c r="AQ465" s="328"/>
      <c r="AR465" s="328"/>
      <c r="AS465" s="328"/>
      <c r="AT465" s="328"/>
      <c r="AU465" s="328">
        <f t="shared" si="27"/>
        <v>150000000</v>
      </c>
      <c r="AV465" s="328">
        <f t="shared" si="28"/>
        <v>55760000</v>
      </c>
      <c r="AW465" s="328">
        <f t="shared" si="29"/>
        <v>43280000</v>
      </c>
      <c r="AX465" s="330" t="s">
        <v>1024</v>
      </c>
      <c r="AZ465" s="331"/>
    </row>
    <row r="466" spans="1:129" ht="63.75" x14ac:dyDescent="0.2">
      <c r="A466" s="257">
        <v>319</v>
      </c>
      <c r="B466" s="376" t="s">
        <v>1020</v>
      </c>
      <c r="C466" s="257">
        <v>1</v>
      </c>
      <c r="D466" s="376" t="s">
        <v>105</v>
      </c>
      <c r="E466" s="257">
        <v>1</v>
      </c>
      <c r="F466" s="376" t="s">
        <v>112</v>
      </c>
      <c r="G466" s="519">
        <v>43</v>
      </c>
      <c r="H466" s="376" t="s">
        <v>134</v>
      </c>
      <c r="I466" s="257">
        <v>4302</v>
      </c>
      <c r="J466" s="376" t="s">
        <v>1038</v>
      </c>
      <c r="K466" s="346">
        <v>4302075</v>
      </c>
      <c r="L466" s="376" t="s">
        <v>1039</v>
      </c>
      <c r="M466" s="284">
        <v>430207500</v>
      </c>
      <c r="N466" s="388" t="s">
        <v>1040</v>
      </c>
      <c r="O466" s="382" t="s">
        <v>26</v>
      </c>
      <c r="P466" s="280">
        <v>25</v>
      </c>
      <c r="Q466" s="280">
        <v>25</v>
      </c>
      <c r="R466" s="380">
        <v>2020003630010</v>
      </c>
      <c r="S466" s="500" t="s">
        <v>1041</v>
      </c>
      <c r="T466" s="515">
        <v>1479667401.2799997</v>
      </c>
      <c r="U466" s="515">
        <v>1478146401.28</v>
      </c>
      <c r="V466" s="515">
        <v>1427114400.3299999</v>
      </c>
      <c r="W466" s="515">
        <v>418594999.98999995</v>
      </c>
      <c r="X466" s="515">
        <v>418594999.99000001</v>
      </c>
      <c r="Y466" s="515">
        <v>319310699.99000001</v>
      </c>
      <c r="Z466" s="515"/>
      <c r="AA466" s="515"/>
      <c r="AB466" s="515"/>
      <c r="AC466" s="515">
        <v>357296666.66000003</v>
      </c>
      <c r="AD466" s="515">
        <v>357296666.65999997</v>
      </c>
      <c r="AE466" s="515">
        <v>356949999.65999997</v>
      </c>
      <c r="AF466" s="514"/>
      <c r="AG466" s="514"/>
      <c r="AH466" s="514"/>
      <c r="AI466" s="513"/>
      <c r="AJ466" s="513"/>
      <c r="AK466" s="513"/>
      <c r="AL466" s="515">
        <v>146120000</v>
      </c>
      <c r="AM466" s="515">
        <v>146120000</v>
      </c>
      <c r="AN466" s="515">
        <v>110834190</v>
      </c>
      <c r="AO466" s="513"/>
      <c r="AP466" s="513"/>
      <c r="AQ466" s="513"/>
      <c r="AR466" s="513"/>
      <c r="AS466" s="513"/>
      <c r="AT466" s="513"/>
      <c r="AU466" s="516">
        <f t="shared" si="27"/>
        <v>2401679067.9299998</v>
      </c>
      <c r="AV466" s="516">
        <f t="shared" si="28"/>
        <v>2400158067.9299998</v>
      </c>
      <c r="AW466" s="516">
        <f t="shared" si="29"/>
        <v>2214209289.98</v>
      </c>
      <c r="AX466" s="517" t="s">
        <v>1024</v>
      </c>
      <c r="AZ466" s="331"/>
    </row>
    <row r="467" spans="1:129" ht="63.75" x14ac:dyDescent="0.2">
      <c r="A467" s="277">
        <v>319</v>
      </c>
      <c r="B467" s="325" t="s">
        <v>1020</v>
      </c>
      <c r="C467" s="259"/>
      <c r="D467" s="325"/>
      <c r="E467" s="259">
        <v>1</v>
      </c>
      <c r="F467" s="325" t="s">
        <v>112</v>
      </c>
      <c r="G467" s="259" t="s">
        <v>139</v>
      </c>
      <c r="H467" s="325" t="s">
        <v>134</v>
      </c>
      <c r="I467" s="259" t="s">
        <v>1042</v>
      </c>
      <c r="J467" s="325" t="s">
        <v>1038</v>
      </c>
      <c r="K467" s="259">
        <v>4302002</v>
      </c>
      <c r="L467" s="325" t="s">
        <v>1043</v>
      </c>
      <c r="M467" s="264" t="s">
        <v>1044</v>
      </c>
      <c r="N467" s="333" t="s">
        <v>1045</v>
      </c>
      <c r="O467" s="282" t="s">
        <v>26</v>
      </c>
      <c r="P467" s="272">
        <v>800</v>
      </c>
      <c r="Q467" s="272">
        <v>990</v>
      </c>
      <c r="R467" s="281">
        <v>2024003630017</v>
      </c>
      <c r="S467" s="327" t="s">
        <v>1046</v>
      </c>
      <c r="T467" s="328">
        <v>1307034590.5999999</v>
      </c>
      <c r="U467" s="328">
        <v>1002651849.4000002</v>
      </c>
      <c r="V467" s="328">
        <v>992181849.40000021</v>
      </c>
      <c r="W467" s="328">
        <v>226783000</v>
      </c>
      <c r="X467" s="328"/>
      <c r="Y467" s="328"/>
      <c r="Z467" s="328"/>
      <c r="AA467" s="328"/>
      <c r="AB467" s="328"/>
      <c r="AC467" s="328"/>
      <c r="AD467" s="328"/>
      <c r="AE467" s="328"/>
      <c r="AF467" s="328"/>
      <c r="AG467" s="328"/>
      <c r="AH467" s="328"/>
      <c r="AI467" s="328"/>
      <c r="AJ467" s="328"/>
      <c r="AK467" s="328"/>
      <c r="AL467" s="512"/>
      <c r="AM467" s="512"/>
      <c r="AN467" s="512"/>
      <c r="AO467" s="328"/>
      <c r="AP467" s="328"/>
      <c r="AQ467" s="328"/>
      <c r="AR467" s="328"/>
      <c r="AS467" s="328"/>
      <c r="AT467" s="328"/>
      <c r="AU467" s="512">
        <f t="shared" si="27"/>
        <v>1533817590.5999999</v>
      </c>
      <c r="AV467" s="512">
        <f t="shared" si="28"/>
        <v>1002651849.4000002</v>
      </c>
      <c r="AW467" s="512">
        <f t="shared" si="29"/>
        <v>992181849.40000021</v>
      </c>
      <c r="AX467" s="330" t="s">
        <v>1024</v>
      </c>
      <c r="AZ467" s="331"/>
    </row>
    <row r="468" spans="1:129" ht="63.75" x14ac:dyDescent="0.2">
      <c r="A468" s="277">
        <v>319</v>
      </c>
      <c r="B468" s="325" t="s">
        <v>1020</v>
      </c>
      <c r="C468" s="259"/>
      <c r="D468" s="325"/>
      <c r="E468" s="259">
        <v>1</v>
      </c>
      <c r="F468" s="325" t="s">
        <v>112</v>
      </c>
      <c r="G468" s="259" t="s">
        <v>139</v>
      </c>
      <c r="H468" s="325" t="s">
        <v>134</v>
      </c>
      <c r="I468" s="259" t="s">
        <v>1042</v>
      </c>
      <c r="J468" s="325" t="s">
        <v>1038</v>
      </c>
      <c r="K468" s="259" t="s">
        <v>1047</v>
      </c>
      <c r="L468" s="325" t="s">
        <v>1039</v>
      </c>
      <c r="M468" s="288">
        <v>430207500</v>
      </c>
      <c r="N468" s="333" t="s">
        <v>1040</v>
      </c>
      <c r="O468" s="282" t="s">
        <v>26</v>
      </c>
      <c r="P468" s="272">
        <v>40</v>
      </c>
      <c r="Q468" s="272">
        <v>39</v>
      </c>
      <c r="R468" s="281">
        <v>2024003630017</v>
      </c>
      <c r="S468" s="327" t="s">
        <v>1046</v>
      </c>
      <c r="T468" s="328">
        <f>1870633366.14-141856366.14+1289630174.28-100000000-100000000</f>
        <v>2818407174.2799997</v>
      </c>
      <c r="U468" s="328">
        <v>1949808303.3</v>
      </c>
      <c r="V468" s="328">
        <v>1336044573.96</v>
      </c>
      <c r="W468" s="328">
        <v>291736172.09000003</v>
      </c>
      <c r="X468" s="328">
        <v>276377838.75</v>
      </c>
      <c r="Y468" s="328">
        <v>200856362.07999998</v>
      </c>
      <c r="Z468" s="328"/>
      <c r="AA468" s="328"/>
      <c r="AB468" s="328"/>
      <c r="AC468" s="328">
        <v>19786333.34</v>
      </c>
      <c r="AD468" s="328"/>
      <c r="AE468" s="328"/>
      <c r="AF468" s="328"/>
      <c r="AG468" s="328"/>
      <c r="AH468" s="328"/>
      <c r="AI468" s="328"/>
      <c r="AJ468" s="328"/>
      <c r="AK468" s="328"/>
      <c r="AL468" s="512">
        <v>313904697.44</v>
      </c>
      <c r="AM468" s="512">
        <v>182224770</v>
      </c>
      <c r="AN468" s="512">
        <v>129534770</v>
      </c>
      <c r="AO468" s="328"/>
      <c r="AP468" s="328"/>
      <c r="AQ468" s="328"/>
      <c r="AR468" s="328"/>
      <c r="AS468" s="328"/>
      <c r="AT468" s="328"/>
      <c r="AU468" s="512">
        <f t="shared" si="27"/>
        <v>3443834377.1500001</v>
      </c>
      <c r="AV468" s="512">
        <f t="shared" si="28"/>
        <v>2408410912.0500002</v>
      </c>
      <c r="AW468" s="512">
        <f t="shared" si="29"/>
        <v>1666435706.04</v>
      </c>
      <c r="AX468" s="330" t="s">
        <v>1024</v>
      </c>
      <c r="AZ468" s="331"/>
    </row>
    <row r="469" spans="1:129" s="459" customFormat="1" ht="51" x14ac:dyDescent="0.25">
      <c r="A469" s="292">
        <v>320</v>
      </c>
      <c r="B469" s="454" t="s">
        <v>1048</v>
      </c>
      <c r="C469" s="292">
        <v>1</v>
      </c>
      <c r="D469" s="454" t="s">
        <v>105</v>
      </c>
      <c r="E469" s="292">
        <v>1</v>
      </c>
      <c r="F469" s="454" t="s">
        <v>112</v>
      </c>
      <c r="G469" s="292">
        <v>43</v>
      </c>
      <c r="H469" s="454" t="s">
        <v>134</v>
      </c>
      <c r="I469" s="292">
        <v>4301</v>
      </c>
      <c r="J469" s="454" t="s">
        <v>135</v>
      </c>
      <c r="K469" s="292">
        <v>4301004</v>
      </c>
      <c r="L469" s="477" t="s">
        <v>136</v>
      </c>
      <c r="M469" s="295">
        <v>430100401</v>
      </c>
      <c r="N469" s="477" t="s">
        <v>137</v>
      </c>
      <c r="O469" s="465" t="s">
        <v>67</v>
      </c>
      <c r="P469" s="299">
        <v>3</v>
      </c>
      <c r="Q469" s="299">
        <v>3</v>
      </c>
      <c r="R469" s="337">
        <v>2020003630142</v>
      </c>
      <c r="S469" s="499" t="s">
        <v>1049</v>
      </c>
      <c r="T469" s="457">
        <f>1600000000+166021823.61-1157159965.29</f>
        <v>608861858.32000017</v>
      </c>
      <c r="U469" s="457">
        <f>1600000000+166021823.61-1157159965.29</f>
        <v>608861858.32000017</v>
      </c>
      <c r="V469" s="457">
        <v>601038427.76999998</v>
      </c>
      <c r="W469" s="457"/>
      <c r="X469" s="457"/>
      <c r="Y469" s="457"/>
      <c r="Z469" s="457"/>
      <c r="AA469" s="457"/>
      <c r="AB469" s="457"/>
      <c r="AC469" s="457"/>
      <c r="AD469" s="457"/>
      <c r="AE469" s="457"/>
      <c r="AF469" s="457"/>
      <c r="AG469" s="457"/>
      <c r="AH469" s="457"/>
      <c r="AI469" s="457"/>
      <c r="AJ469" s="457"/>
      <c r="AK469" s="457"/>
      <c r="AL469" s="457"/>
      <c r="AM469" s="457"/>
      <c r="AN469" s="457"/>
      <c r="AO469" s="470"/>
      <c r="AP469" s="470"/>
      <c r="AQ469" s="470"/>
      <c r="AR469" s="457"/>
      <c r="AS469" s="457"/>
      <c r="AT469" s="457"/>
      <c r="AU469" s="457">
        <f t="shared" ref="AU469:AU497" si="30">SUM(T469,W469,Z469,AC469,AF469,AI469,AL469,AO469,AR469)</f>
        <v>608861858.32000017</v>
      </c>
      <c r="AV469" s="457">
        <f t="shared" si="28"/>
        <v>608861858.32000017</v>
      </c>
      <c r="AW469" s="457">
        <f t="shared" si="29"/>
        <v>601038427.76999998</v>
      </c>
      <c r="AX469" s="475" t="s">
        <v>1050</v>
      </c>
    </row>
    <row r="470" spans="1:129" s="521" customFormat="1" ht="51" x14ac:dyDescent="0.2">
      <c r="A470" s="277">
        <v>320</v>
      </c>
      <c r="B470" s="325" t="s">
        <v>1048</v>
      </c>
      <c r="C470" s="259"/>
      <c r="D470" s="325"/>
      <c r="E470" s="259">
        <v>1</v>
      </c>
      <c r="F470" s="325" t="s">
        <v>112</v>
      </c>
      <c r="G470" s="259" t="s">
        <v>139</v>
      </c>
      <c r="H470" s="325" t="s">
        <v>134</v>
      </c>
      <c r="I470" s="259" t="s">
        <v>140</v>
      </c>
      <c r="J470" s="325" t="s">
        <v>141</v>
      </c>
      <c r="K470" s="259" t="s">
        <v>142</v>
      </c>
      <c r="L470" s="325" t="s">
        <v>136</v>
      </c>
      <c r="M470" s="264" t="s">
        <v>1051</v>
      </c>
      <c r="N470" s="333" t="s">
        <v>143</v>
      </c>
      <c r="O470" s="282" t="s">
        <v>67</v>
      </c>
      <c r="P470" s="272">
        <v>10</v>
      </c>
      <c r="Q470" s="272">
        <v>2</v>
      </c>
      <c r="R470" s="281">
        <v>2024003630012</v>
      </c>
      <c r="S470" s="327" t="s">
        <v>1213</v>
      </c>
      <c r="T470" s="520">
        <v>1162717528.0699999</v>
      </c>
      <c r="U470" s="328">
        <v>525079685.77999997</v>
      </c>
      <c r="V470" s="328">
        <v>240522044</v>
      </c>
      <c r="W470" s="328"/>
      <c r="X470" s="328"/>
      <c r="Y470" s="328"/>
      <c r="Z470" s="328"/>
      <c r="AA470" s="328"/>
      <c r="AB470" s="328"/>
      <c r="AC470" s="328"/>
      <c r="AD470" s="328"/>
      <c r="AE470" s="328"/>
      <c r="AF470" s="328"/>
      <c r="AG470" s="328"/>
      <c r="AH470" s="328"/>
      <c r="AI470" s="328"/>
      <c r="AJ470" s="328"/>
      <c r="AK470" s="328"/>
      <c r="AL470" s="329"/>
      <c r="AM470" s="329"/>
      <c r="AN470" s="329"/>
      <c r="AO470" s="328"/>
      <c r="AP470" s="328"/>
      <c r="AQ470" s="328"/>
      <c r="AR470" s="328"/>
      <c r="AS470" s="328"/>
      <c r="AT470" s="328"/>
      <c r="AU470" s="328">
        <f t="shared" si="30"/>
        <v>1162717528.0699999</v>
      </c>
      <c r="AV470" s="328">
        <f t="shared" si="28"/>
        <v>525079685.77999997</v>
      </c>
      <c r="AW470" s="328">
        <f t="shared" si="29"/>
        <v>240522044</v>
      </c>
      <c r="AX470" s="330" t="s">
        <v>1050</v>
      </c>
      <c r="AY470" s="331"/>
      <c r="AZ470" s="331"/>
      <c r="BA470" s="331"/>
      <c r="BB470" s="331"/>
      <c r="BC470" s="331"/>
      <c r="BD470" s="331"/>
      <c r="BE470" s="331"/>
      <c r="BF470" s="331"/>
      <c r="BG470" s="331"/>
      <c r="BH470" s="331"/>
      <c r="BI470" s="331"/>
      <c r="BJ470" s="331"/>
      <c r="BK470" s="331"/>
      <c r="BL470" s="331"/>
      <c r="BM470" s="331"/>
      <c r="BN470" s="331"/>
      <c r="BO470" s="331"/>
      <c r="BP470" s="331"/>
      <c r="BQ470" s="331"/>
      <c r="BR470" s="331"/>
      <c r="BS470" s="331"/>
      <c r="BT470" s="331"/>
      <c r="BU470" s="331"/>
      <c r="BV470" s="331"/>
      <c r="BW470" s="331"/>
      <c r="BX470" s="331"/>
      <c r="BY470" s="331"/>
      <c r="BZ470" s="331"/>
      <c r="CA470" s="331"/>
      <c r="CB470" s="331"/>
      <c r="CC470" s="331"/>
      <c r="CD470" s="331"/>
      <c r="CE470" s="331"/>
      <c r="CF470" s="331"/>
      <c r="CG470" s="331"/>
      <c r="CH470" s="331"/>
      <c r="CI470" s="331"/>
      <c r="CJ470" s="331"/>
      <c r="CK470" s="331"/>
      <c r="CL470" s="331"/>
      <c r="CM470" s="331"/>
      <c r="CN470" s="331"/>
      <c r="CO470" s="331"/>
      <c r="CP470" s="331"/>
      <c r="CQ470" s="331"/>
      <c r="CR470" s="331"/>
      <c r="CS470" s="331"/>
      <c r="CT470" s="331"/>
      <c r="CU470" s="331"/>
      <c r="CV470" s="331"/>
      <c r="CW470" s="331"/>
      <c r="CX470" s="331"/>
      <c r="CY470" s="331"/>
      <c r="CZ470" s="331"/>
      <c r="DA470" s="331"/>
      <c r="DB470" s="331"/>
      <c r="DC470" s="331"/>
      <c r="DD470" s="331"/>
      <c r="DE470" s="331"/>
      <c r="DF470" s="331"/>
      <c r="DG470" s="331"/>
      <c r="DH470" s="331"/>
      <c r="DI470" s="331"/>
      <c r="DJ470" s="331"/>
      <c r="DK470" s="331"/>
      <c r="DL470" s="331"/>
      <c r="DM470" s="331"/>
      <c r="DN470" s="331"/>
      <c r="DO470" s="331"/>
      <c r="DP470" s="331"/>
      <c r="DQ470" s="331"/>
      <c r="DR470" s="331"/>
      <c r="DS470" s="331"/>
      <c r="DT470" s="331"/>
      <c r="DU470" s="331"/>
      <c r="DV470" s="331"/>
      <c r="DW470" s="331"/>
      <c r="DX470" s="331"/>
      <c r="DY470" s="331"/>
    </row>
    <row r="471" spans="1:129" s="521" customFormat="1" ht="38.25" x14ac:dyDescent="0.2">
      <c r="A471" s="277">
        <v>320</v>
      </c>
      <c r="B471" s="325" t="s">
        <v>1048</v>
      </c>
      <c r="C471" s="259"/>
      <c r="D471" s="325"/>
      <c r="E471" s="259">
        <v>1</v>
      </c>
      <c r="F471" s="325" t="s">
        <v>112</v>
      </c>
      <c r="G471" s="259" t="s">
        <v>139</v>
      </c>
      <c r="H471" s="325" t="s">
        <v>134</v>
      </c>
      <c r="I471" s="259" t="s">
        <v>140</v>
      </c>
      <c r="J471" s="325" t="s">
        <v>141</v>
      </c>
      <c r="K471" s="259" t="s">
        <v>1052</v>
      </c>
      <c r="L471" s="325" t="s">
        <v>1053</v>
      </c>
      <c r="M471" s="264">
        <v>430103100</v>
      </c>
      <c r="N471" s="333" t="s">
        <v>1054</v>
      </c>
      <c r="O471" s="282" t="s">
        <v>67</v>
      </c>
      <c r="P471" s="272">
        <v>1</v>
      </c>
      <c r="Q471" s="272">
        <v>0</v>
      </c>
      <c r="R471" s="281">
        <v>2024003630012</v>
      </c>
      <c r="S471" s="327" t="s">
        <v>1213</v>
      </c>
      <c r="T471" s="520">
        <v>28596667.219999999</v>
      </c>
      <c r="U471" s="328">
        <v>25944975</v>
      </c>
      <c r="V471" s="328">
        <v>0</v>
      </c>
      <c r="W471" s="328"/>
      <c r="X471" s="328"/>
      <c r="Y471" s="328"/>
      <c r="Z471" s="328"/>
      <c r="AA471" s="328"/>
      <c r="AB471" s="328"/>
      <c r="AC471" s="328"/>
      <c r="AD471" s="328"/>
      <c r="AE471" s="328"/>
      <c r="AF471" s="328"/>
      <c r="AG471" s="328"/>
      <c r="AH471" s="328"/>
      <c r="AI471" s="328"/>
      <c r="AJ471" s="328"/>
      <c r="AK471" s="328"/>
      <c r="AL471" s="329"/>
      <c r="AM471" s="329"/>
      <c r="AN471" s="329"/>
      <c r="AO471" s="328"/>
      <c r="AP471" s="328"/>
      <c r="AQ471" s="328"/>
      <c r="AR471" s="328"/>
      <c r="AS471" s="328"/>
      <c r="AT471" s="328"/>
      <c r="AU471" s="328">
        <f t="shared" si="30"/>
        <v>28596667.219999999</v>
      </c>
      <c r="AV471" s="328">
        <f t="shared" si="28"/>
        <v>25944975</v>
      </c>
      <c r="AW471" s="328">
        <f t="shared" si="29"/>
        <v>0</v>
      </c>
      <c r="AX471" s="330" t="s">
        <v>1050</v>
      </c>
      <c r="AY471" s="331"/>
      <c r="AZ471" s="331"/>
      <c r="BA471" s="331"/>
      <c r="BB471" s="331"/>
      <c r="BC471" s="331"/>
      <c r="BD471" s="331"/>
      <c r="BE471" s="331"/>
      <c r="BF471" s="331"/>
      <c r="BG471" s="331"/>
      <c r="BH471" s="331"/>
      <c r="BI471" s="331"/>
      <c r="BJ471" s="331"/>
      <c r="BK471" s="331"/>
      <c r="BL471" s="331"/>
      <c r="BM471" s="331"/>
      <c r="BN471" s="331"/>
      <c r="BO471" s="331"/>
      <c r="BP471" s="331"/>
      <c r="BQ471" s="331"/>
      <c r="BR471" s="331"/>
      <c r="BS471" s="331"/>
      <c r="BT471" s="331"/>
      <c r="BU471" s="331"/>
      <c r="BV471" s="331"/>
      <c r="BW471" s="331"/>
      <c r="BX471" s="331"/>
      <c r="BY471" s="331"/>
      <c r="BZ471" s="331"/>
      <c r="CA471" s="331"/>
      <c r="CB471" s="331"/>
      <c r="CC471" s="331"/>
      <c r="CD471" s="331"/>
      <c r="CE471" s="331"/>
      <c r="CF471" s="331"/>
      <c r="CG471" s="331"/>
      <c r="CH471" s="331"/>
      <c r="CI471" s="331"/>
      <c r="CJ471" s="331"/>
      <c r="CK471" s="331"/>
      <c r="CL471" s="331"/>
      <c r="CM471" s="331"/>
      <c r="CN471" s="331"/>
      <c r="CO471" s="331"/>
      <c r="CP471" s="331"/>
      <c r="CQ471" s="331"/>
      <c r="CR471" s="331"/>
      <c r="CS471" s="331"/>
      <c r="CT471" s="331"/>
      <c r="CU471" s="331"/>
      <c r="CV471" s="331"/>
      <c r="CW471" s="331"/>
      <c r="CX471" s="331"/>
      <c r="CY471" s="331"/>
      <c r="CZ471" s="331"/>
      <c r="DA471" s="331"/>
      <c r="DB471" s="331"/>
      <c r="DC471" s="331"/>
      <c r="DD471" s="331"/>
      <c r="DE471" s="331"/>
      <c r="DF471" s="331"/>
      <c r="DG471" s="331"/>
      <c r="DH471" s="331"/>
      <c r="DI471" s="331"/>
      <c r="DJ471" s="331"/>
      <c r="DK471" s="331"/>
      <c r="DL471" s="331"/>
      <c r="DM471" s="331"/>
      <c r="DN471" s="331"/>
      <c r="DO471" s="331"/>
      <c r="DP471" s="331"/>
      <c r="DQ471" s="331"/>
      <c r="DR471" s="331"/>
      <c r="DS471" s="331"/>
      <c r="DT471" s="331"/>
      <c r="DU471" s="331"/>
      <c r="DV471" s="331"/>
      <c r="DW471" s="331"/>
      <c r="DX471" s="331"/>
      <c r="DY471" s="331"/>
    </row>
    <row r="472" spans="1:129" s="459" customFormat="1" ht="51" x14ac:dyDescent="0.2">
      <c r="A472" s="292">
        <v>320</v>
      </c>
      <c r="B472" s="454" t="s">
        <v>1048</v>
      </c>
      <c r="C472" s="292">
        <v>1</v>
      </c>
      <c r="D472" s="454" t="s">
        <v>105</v>
      </c>
      <c r="E472" s="292">
        <v>1</v>
      </c>
      <c r="F472" s="454" t="s">
        <v>112</v>
      </c>
      <c r="G472" s="292">
        <v>22</v>
      </c>
      <c r="H472" s="454" t="s">
        <v>113</v>
      </c>
      <c r="I472" s="292">
        <v>2201</v>
      </c>
      <c r="J472" s="454" t="s">
        <v>114</v>
      </c>
      <c r="K472" s="295">
        <v>2201062</v>
      </c>
      <c r="L472" s="454" t="s">
        <v>115</v>
      </c>
      <c r="M472" s="292">
        <v>220106200</v>
      </c>
      <c r="N472" s="458" t="s">
        <v>116</v>
      </c>
      <c r="O472" s="465" t="s">
        <v>67</v>
      </c>
      <c r="P472" s="292">
        <v>15</v>
      </c>
      <c r="Q472" s="292">
        <v>2</v>
      </c>
      <c r="R472" s="337">
        <v>2020003630143</v>
      </c>
      <c r="S472" s="499" t="s">
        <v>1055</v>
      </c>
      <c r="T472" s="457">
        <f>2211834000-250000000+220000000-1582892497.66</f>
        <v>598941502.33999991</v>
      </c>
      <c r="U472" s="457">
        <f>2211834000-250000000+220000000-1582892497.66</f>
        <v>598941502.33999991</v>
      </c>
      <c r="V472" s="457">
        <v>583250953.63</v>
      </c>
      <c r="W472" s="457"/>
      <c r="X472" s="457"/>
      <c r="Y472" s="457"/>
      <c r="Z472" s="457"/>
      <c r="AA472" s="457"/>
      <c r="AB472" s="457"/>
      <c r="AC472" s="457"/>
      <c r="AD472" s="457"/>
      <c r="AE472" s="457"/>
      <c r="AF472" s="457"/>
      <c r="AG472" s="457"/>
      <c r="AH472" s="457"/>
      <c r="AI472" s="457"/>
      <c r="AJ472" s="457"/>
      <c r="AK472" s="457"/>
      <c r="AL472" s="457"/>
      <c r="AM472" s="457"/>
      <c r="AN472" s="457"/>
      <c r="AO472" s="457"/>
      <c r="AP472" s="457"/>
      <c r="AQ472" s="457"/>
      <c r="AR472" s="457"/>
      <c r="AS472" s="457"/>
      <c r="AT472" s="457"/>
      <c r="AU472" s="457">
        <f t="shared" si="30"/>
        <v>598941502.33999991</v>
      </c>
      <c r="AV472" s="457">
        <f t="shared" si="28"/>
        <v>598941502.33999991</v>
      </c>
      <c r="AW472" s="457">
        <f t="shared" si="29"/>
        <v>583250953.63</v>
      </c>
      <c r="AX472" s="475" t="s">
        <v>1050</v>
      </c>
      <c r="AY472" s="522"/>
    </row>
    <row r="473" spans="1:129" s="533" customFormat="1" ht="51" x14ac:dyDescent="0.2">
      <c r="A473" s="523">
        <v>320</v>
      </c>
      <c r="B473" s="524" t="s">
        <v>1048</v>
      </c>
      <c r="C473" s="347"/>
      <c r="D473" s="524"/>
      <c r="E473" s="347">
        <v>1</v>
      </c>
      <c r="F473" s="524" t="s">
        <v>112</v>
      </c>
      <c r="G473" s="347">
        <v>22</v>
      </c>
      <c r="H473" s="524" t="s">
        <v>113</v>
      </c>
      <c r="I473" s="347">
        <v>2201</v>
      </c>
      <c r="J473" s="524" t="s">
        <v>114</v>
      </c>
      <c r="K473" s="347">
        <v>2201062</v>
      </c>
      <c r="L473" s="524" t="s">
        <v>115</v>
      </c>
      <c r="M473" s="319">
        <v>220106200</v>
      </c>
      <c r="N473" s="525" t="s">
        <v>116</v>
      </c>
      <c r="O473" s="526" t="s">
        <v>67</v>
      </c>
      <c r="P473" s="320">
        <v>10</v>
      </c>
      <c r="Q473" s="320">
        <v>0</v>
      </c>
      <c r="R473" s="527">
        <v>2024003630011</v>
      </c>
      <c r="S473" s="528" t="s">
        <v>1056</v>
      </c>
      <c r="T473" s="529">
        <f>1372892497.66+214850001</f>
        <v>1587742498.6600001</v>
      </c>
      <c r="U473" s="529">
        <v>1240485647</v>
      </c>
      <c r="V473" s="529">
        <v>222025000</v>
      </c>
      <c r="W473" s="529"/>
      <c r="X473" s="529"/>
      <c r="Y473" s="529"/>
      <c r="Z473" s="529"/>
      <c r="AA473" s="529"/>
      <c r="AB473" s="529"/>
      <c r="AC473" s="529"/>
      <c r="AD473" s="529"/>
      <c r="AE473" s="529"/>
      <c r="AF473" s="529"/>
      <c r="AG473" s="529"/>
      <c r="AH473" s="529"/>
      <c r="AI473" s="529"/>
      <c r="AJ473" s="529"/>
      <c r="AK473" s="529"/>
      <c r="AL473" s="530"/>
      <c r="AM473" s="530"/>
      <c r="AN473" s="530"/>
      <c r="AO473" s="529"/>
      <c r="AP473" s="529"/>
      <c r="AQ473" s="529"/>
      <c r="AR473" s="529"/>
      <c r="AS473" s="529"/>
      <c r="AT473" s="529"/>
      <c r="AU473" s="529">
        <f t="shared" si="30"/>
        <v>1587742498.6600001</v>
      </c>
      <c r="AV473" s="529">
        <f t="shared" si="28"/>
        <v>1240485647</v>
      </c>
      <c r="AW473" s="529">
        <f t="shared" si="29"/>
        <v>222025000</v>
      </c>
      <c r="AX473" s="531" t="s">
        <v>1050</v>
      </c>
      <c r="AY473" s="532"/>
    </row>
    <row r="474" spans="1:129" s="533" customFormat="1" ht="51" x14ac:dyDescent="0.2">
      <c r="A474" s="523">
        <v>320</v>
      </c>
      <c r="B474" s="524" t="s">
        <v>1048</v>
      </c>
      <c r="C474" s="347"/>
      <c r="D474" s="524"/>
      <c r="E474" s="347">
        <v>1</v>
      </c>
      <c r="F474" s="524" t="s">
        <v>112</v>
      </c>
      <c r="G474" s="347" t="s">
        <v>1057</v>
      </c>
      <c r="H474" s="524" t="s">
        <v>113</v>
      </c>
      <c r="I474" s="347" t="s">
        <v>1058</v>
      </c>
      <c r="J474" s="524" t="s">
        <v>114</v>
      </c>
      <c r="K474" s="347">
        <v>2201039</v>
      </c>
      <c r="L474" s="524" t="s">
        <v>1059</v>
      </c>
      <c r="M474" s="319">
        <v>220103900</v>
      </c>
      <c r="N474" s="525" t="s">
        <v>1060</v>
      </c>
      <c r="O474" s="526" t="s">
        <v>67</v>
      </c>
      <c r="P474" s="320">
        <v>1</v>
      </c>
      <c r="Q474" s="320">
        <v>0</v>
      </c>
      <c r="R474" s="527">
        <v>2024003630011</v>
      </c>
      <c r="S474" s="528" t="s">
        <v>1056</v>
      </c>
      <c r="T474" s="529">
        <f>250000000-214850001</f>
        <v>35149999</v>
      </c>
      <c r="U474" s="529">
        <v>35149999</v>
      </c>
      <c r="V474" s="529"/>
      <c r="W474" s="529"/>
      <c r="X474" s="529"/>
      <c r="Y474" s="529"/>
      <c r="Z474" s="529"/>
      <c r="AA474" s="529"/>
      <c r="AB474" s="529"/>
      <c r="AC474" s="529"/>
      <c r="AD474" s="529"/>
      <c r="AE474" s="529"/>
      <c r="AF474" s="529"/>
      <c r="AG474" s="529"/>
      <c r="AH474" s="529"/>
      <c r="AI474" s="529"/>
      <c r="AJ474" s="529"/>
      <c r="AK474" s="529"/>
      <c r="AL474" s="530"/>
      <c r="AM474" s="530"/>
      <c r="AN474" s="530"/>
      <c r="AO474" s="529"/>
      <c r="AP474" s="529"/>
      <c r="AQ474" s="529"/>
      <c r="AR474" s="529"/>
      <c r="AS474" s="529"/>
      <c r="AT474" s="529"/>
      <c r="AU474" s="529">
        <f t="shared" si="30"/>
        <v>35149999</v>
      </c>
      <c r="AV474" s="529">
        <f t="shared" si="28"/>
        <v>35149999</v>
      </c>
      <c r="AW474" s="529">
        <f t="shared" si="29"/>
        <v>0</v>
      </c>
      <c r="AX474" s="531" t="s">
        <v>1050</v>
      </c>
      <c r="AY474" s="532"/>
    </row>
    <row r="475" spans="1:129" s="459" customFormat="1" ht="63.75" x14ac:dyDescent="0.25">
      <c r="A475" s="292">
        <v>320</v>
      </c>
      <c r="B475" s="454" t="s">
        <v>1048</v>
      </c>
      <c r="C475" s="292">
        <v>3</v>
      </c>
      <c r="D475" s="454" t="s">
        <v>146</v>
      </c>
      <c r="E475" s="292">
        <v>3</v>
      </c>
      <c r="F475" s="454" t="s">
        <v>1061</v>
      </c>
      <c r="G475" s="292">
        <v>24</v>
      </c>
      <c r="H475" s="454" t="s">
        <v>148</v>
      </c>
      <c r="I475" s="292">
        <v>2402</v>
      </c>
      <c r="J475" s="454" t="s">
        <v>149</v>
      </c>
      <c r="K475" s="295">
        <v>2402041</v>
      </c>
      <c r="L475" s="454" t="s">
        <v>150</v>
      </c>
      <c r="M475" s="295">
        <v>240204100</v>
      </c>
      <c r="N475" s="477" t="s">
        <v>151</v>
      </c>
      <c r="O475" s="465" t="s">
        <v>26</v>
      </c>
      <c r="P475" s="293">
        <v>70.379000000000005</v>
      </c>
      <c r="Q475" s="293">
        <v>0.3</v>
      </c>
      <c r="R475" s="337">
        <v>2020003630144</v>
      </c>
      <c r="S475" s="499" t="s">
        <v>1062</v>
      </c>
      <c r="T475" s="457"/>
      <c r="U475" s="457"/>
      <c r="V475" s="457"/>
      <c r="W475" s="457"/>
      <c r="X475" s="457"/>
      <c r="Y475" s="457"/>
      <c r="Z475" s="457"/>
      <c r="AA475" s="457"/>
      <c r="AB475" s="457"/>
      <c r="AC475" s="457"/>
      <c r="AD475" s="457"/>
      <c r="AE475" s="457"/>
      <c r="AF475" s="457"/>
      <c r="AG475" s="457"/>
      <c r="AH475" s="457"/>
      <c r="AI475" s="457"/>
      <c r="AJ475" s="457"/>
      <c r="AK475" s="457"/>
      <c r="AL475" s="457"/>
      <c r="AM475" s="457"/>
      <c r="AN475" s="457"/>
      <c r="AO475" s="470">
        <f>1000481000-697953517</f>
        <v>302527483</v>
      </c>
      <c r="AP475" s="470">
        <f>AO475</f>
        <v>302527483</v>
      </c>
      <c r="AQ475" s="470">
        <v>208634700</v>
      </c>
      <c r="AR475" s="457"/>
      <c r="AS475" s="457"/>
      <c r="AT475" s="457"/>
      <c r="AU475" s="457">
        <f t="shared" si="30"/>
        <v>302527483</v>
      </c>
      <c r="AV475" s="457">
        <f t="shared" si="28"/>
        <v>302527483</v>
      </c>
      <c r="AW475" s="457">
        <f t="shared" si="29"/>
        <v>208634700</v>
      </c>
      <c r="AX475" s="475" t="s">
        <v>1050</v>
      </c>
    </row>
    <row r="476" spans="1:129" s="332" customFormat="1" ht="63.75" x14ac:dyDescent="0.2">
      <c r="A476" s="277">
        <v>320</v>
      </c>
      <c r="B476" s="325" t="s">
        <v>1048</v>
      </c>
      <c r="C476" s="259"/>
      <c r="D476" s="325"/>
      <c r="E476" s="259">
        <v>3</v>
      </c>
      <c r="F476" s="325" t="s">
        <v>147</v>
      </c>
      <c r="G476" s="259" t="s">
        <v>153</v>
      </c>
      <c r="H476" s="325" t="s">
        <v>148</v>
      </c>
      <c r="I476" s="259" t="s">
        <v>154</v>
      </c>
      <c r="J476" s="325" t="s">
        <v>155</v>
      </c>
      <c r="K476" s="259">
        <v>2402041</v>
      </c>
      <c r="L476" s="325" t="s">
        <v>151</v>
      </c>
      <c r="M476" s="264">
        <v>240204100</v>
      </c>
      <c r="N476" s="333" t="s">
        <v>151</v>
      </c>
      <c r="O476" s="282" t="s">
        <v>67</v>
      </c>
      <c r="P476" s="272">
        <v>2</v>
      </c>
      <c r="Q476" s="272">
        <v>0</v>
      </c>
      <c r="R476" s="281">
        <v>2024003630013</v>
      </c>
      <c r="S476" s="327" t="s">
        <v>1063</v>
      </c>
      <c r="T476" s="328"/>
      <c r="U476" s="328"/>
      <c r="V476" s="328"/>
      <c r="W476" s="328"/>
      <c r="X476" s="328"/>
      <c r="Y476" s="328"/>
      <c r="Z476" s="328"/>
      <c r="AA476" s="328"/>
      <c r="AB476" s="328"/>
      <c r="AC476" s="328"/>
      <c r="AD476" s="328"/>
      <c r="AE476" s="328"/>
      <c r="AF476" s="328"/>
      <c r="AG476" s="328"/>
      <c r="AH476" s="328"/>
      <c r="AI476" s="328"/>
      <c r="AJ476" s="328"/>
      <c r="AK476" s="328"/>
      <c r="AL476" s="329"/>
      <c r="AM476" s="329"/>
      <c r="AN476" s="329"/>
      <c r="AO476" s="328">
        <v>348976758.5</v>
      </c>
      <c r="AP476" s="328">
        <v>133831667</v>
      </c>
      <c r="AQ476" s="328">
        <v>54450000</v>
      </c>
      <c r="AR476" s="328"/>
      <c r="AS476" s="328"/>
      <c r="AT476" s="328"/>
      <c r="AU476" s="328">
        <f t="shared" si="30"/>
        <v>348976758.5</v>
      </c>
      <c r="AV476" s="328">
        <f t="shared" si="28"/>
        <v>133831667</v>
      </c>
      <c r="AW476" s="328">
        <f t="shared" si="29"/>
        <v>54450000</v>
      </c>
      <c r="AX476" s="330" t="s">
        <v>1050</v>
      </c>
    </row>
    <row r="477" spans="1:129" s="332" customFormat="1" ht="63.75" x14ac:dyDescent="0.2">
      <c r="A477" s="277">
        <v>320</v>
      </c>
      <c r="B477" s="325" t="s">
        <v>1048</v>
      </c>
      <c r="C477" s="259"/>
      <c r="D477" s="325"/>
      <c r="E477" s="259">
        <v>3</v>
      </c>
      <c r="F477" s="325" t="s">
        <v>147</v>
      </c>
      <c r="G477" s="259" t="s">
        <v>153</v>
      </c>
      <c r="H477" s="325" t="s">
        <v>148</v>
      </c>
      <c r="I477" s="259" t="s">
        <v>154</v>
      </c>
      <c r="J477" s="325" t="s">
        <v>155</v>
      </c>
      <c r="K477" s="259" t="s">
        <v>1064</v>
      </c>
      <c r="L477" s="325" t="s">
        <v>1065</v>
      </c>
      <c r="M477" s="264">
        <v>240211400</v>
      </c>
      <c r="N477" s="333" t="s">
        <v>1066</v>
      </c>
      <c r="O477" s="282" t="s">
        <v>67</v>
      </c>
      <c r="P477" s="272">
        <v>0.3</v>
      </c>
      <c r="Q477" s="272">
        <v>0.31</v>
      </c>
      <c r="R477" s="281">
        <v>2024003630013</v>
      </c>
      <c r="S477" s="327" t="s">
        <v>1063</v>
      </c>
      <c r="T477" s="328"/>
      <c r="U477" s="328"/>
      <c r="V477" s="328"/>
      <c r="W477" s="328"/>
      <c r="X477" s="328"/>
      <c r="Y477" s="328"/>
      <c r="Z477" s="328"/>
      <c r="AA477" s="328"/>
      <c r="AB477" s="328"/>
      <c r="AC477" s="328"/>
      <c r="AD477" s="328"/>
      <c r="AE477" s="328"/>
      <c r="AF477" s="328"/>
      <c r="AG477" s="328"/>
      <c r="AH477" s="328"/>
      <c r="AI477" s="328"/>
      <c r="AJ477" s="328"/>
      <c r="AK477" s="328"/>
      <c r="AL477" s="329"/>
      <c r="AM477" s="329"/>
      <c r="AN477" s="329"/>
      <c r="AO477" s="328">
        <v>348976758.5</v>
      </c>
      <c r="AP477" s="328">
        <v>289233217.5</v>
      </c>
      <c r="AQ477" s="328">
        <v>0</v>
      </c>
      <c r="AR477" s="328"/>
      <c r="AS477" s="328"/>
      <c r="AT477" s="328"/>
      <c r="AU477" s="328">
        <f t="shared" si="30"/>
        <v>348976758.5</v>
      </c>
      <c r="AV477" s="328">
        <f t="shared" si="28"/>
        <v>289233217.5</v>
      </c>
      <c r="AW477" s="328">
        <f t="shared" si="29"/>
        <v>0</v>
      </c>
      <c r="AX477" s="330" t="s">
        <v>1050</v>
      </c>
    </row>
    <row r="478" spans="1:129" s="459" customFormat="1" ht="63.75" x14ac:dyDescent="0.25">
      <c r="A478" s="292">
        <v>320</v>
      </c>
      <c r="B478" s="454" t="s">
        <v>1048</v>
      </c>
      <c r="C478" s="292">
        <v>3</v>
      </c>
      <c r="D478" s="454" t="s">
        <v>146</v>
      </c>
      <c r="E478" s="292">
        <v>3</v>
      </c>
      <c r="F478" s="454" t="s">
        <v>147</v>
      </c>
      <c r="G478" s="292">
        <v>40</v>
      </c>
      <c r="H478" s="454" t="s">
        <v>169</v>
      </c>
      <c r="I478" s="292">
        <v>4001</v>
      </c>
      <c r="J478" s="454" t="s">
        <v>170</v>
      </c>
      <c r="K478" s="348">
        <v>4001001</v>
      </c>
      <c r="L478" s="454" t="s">
        <v>1067</v>
      </c>
      <c r="M478" s="299" t="s">
        <v>1068</v>
      </c>
      <c r="N478" s="453" t="s">
        <v>1069</v>
      </c>
      <c r="O478" s="465" t="s">
        <v>67</v>
      </c>
      <c r="P478" s="299">
        <v>3</v>
      </c>
      <c r="Q478" s="299">
        <v>0</v>
      </c>
      <c r="R478" s="337">
        <v>2020003630145</v>
      </c>
      <c r="S478" s="499" t="s">
        <v>1070</v>
      </c>
      <c r="T478" s="457"/>
      <c r="U478" s="457"/>
      <c r="V478" s="457"/>
      <c r="W478" s="457"/>
      <c r="X478" s="457"/>
      <c r="Y478" s="457"/>
      <c r="Z478" s="457"/>
      <c r="AA478" s="457"/>
      <c r="AB478" s="457"/>
      <c r="AC478" s="457"/>
      <c r="AD478" s="457"/>
      <c r="AE478" s="457"/>
      <c r="AF478" s="457"/>
      <c r="AG478" s="457"/>
      <c r="AH478" s="457"/>
      <c r="AI478" s="457"/>
      <c r="AJ478" s="457"/>
      <c r="AK478" s="457"/>
      <c r="AL478" s="457"/>
      <c r="AM478" s="457"/>
      <c r="AN478" s="457"/>
      <c r="AO478" s="457">
        <f>55000000-43000000</f>
        <v>12000000</v>
      </c>
      <c r="AP478" s="457">
        <f>AO478</f>
        <v>12000000</v>
      </c>
      <c r="AQ478" s="457">
        <v>12000000</v>
      </c>
      <c r="AR478" s="457"/>
      <c r="AS478" s="457"/>
      <c r="AT478" s="457"/>
      <c r="AU478" s="457">
        <f t="shared" si="30"/>
        <v>12000000</v>
      </c>
      <c r="AV478" s="457">
        <f t="shared" si="28"/>
        <v>12000000</v>
      </c>
      <c r="AW478" s="457">
        <f t="shared" si="29"/>
        <v>12000000</v>
      </c>
      <c r="AX478" s="475" t="s">
        <v>1050</v>
      </c>
    </row>
    <row r="479" spans="1:129" s="459" customFormat="1" ht="63.75" x14ac:dyDescent="0.25">
      <c r="A479" s="292">
        <v>320</v>
      </c>
      <c r="B479" s="454" t="s">
        <v>1048</v>
      </c>
      <c r="C479" s="292">
        <v>3</v>
      </c>
      <c r="D479" s="454" t="s">
        <v>146</v>
      </c>
      <c r="E479" s="292">
        <v>3</v>
      </c>
      <c r="F479" s="454" t="s">
        <v>147</v>
      </c>
      <c r="G479" s="292">
        <v>40</v>
      </c>
      <c r="H479" s="454" t="s">
        <v>169</v>
      </c>
      <c r="I479" s="292">
        <v>4001</v>
      </c>
      <c r="J479" s="454" t="s">
        <v>170</v>
      </c>
      <c r="K479" s="348">
        <v>4001018</v>
      </c>
      <c r="L479" s="454" t="s">
        <v>1071</v>
      </c>
      <c r="M479" s="299" t="s">
        <v>1072</v>
      </c>
      <c r="N479" s="453" t="s">
        <v>1073</v>
      </c>
      <c r="O479" s="465" t="s">
        <v>67</v>
      </c>
      <c r="P479" s="299">
        <v>75</v>
      </c>
      <c r="Q479" s="299">
        <v>0</v>
      </c>
      <c r="R479" s="337">
        <v>2020003630145</v>
      </c>
      <c r="S479" s="499" t="s">
        <v>1070</v>
      </c>
      <c r="T479" s="457">
        <f>400000000+200000000-551750000</f>
        <v>48250000</v>
      </c>
      <c r="U479" s="457">
        <f>T479</f>
        <v>48250000</v>
      </c>
      <c r="V479" s="457">
        <v>48050000</v>
      </c>
      <c r="W479" s="457"/>
      <c r="X479" s="457"/>
      <c r="Y479" s="457"/>
      <c r="Z479" s="457"/>
      <c r="AA479" s="457"/>
      <c r="AB479" s="457"/>
      <c r="AC479" s="457"/>
      <c r="AD479" s="457"/>
      <c r="AE479" s="457"/>
      <c r="AF479" s="457"/>
      <c r="AG479" s="457"/>
      <c r="AH479" s="457"/>
      <c r="AI479" s="457"/>
      <c r="AJ479" s="457"/>
      <c r="AK479" s="457"/>
      <c r="AL479" s="457"/>
      <c r="AM479" s="457"/>
      <c r="AN479" s="457"/>
      <c r="AO479" s="457"/>
      <c r="AP479" s="457"/>
      <c r="AQ479" s="457"/>
      <c r="AR479" s="457"/>
      <c r="AS479" s="457"/>
      <c r="AT479" s="457"/>
      <c r="AU479" s="457">
        <f t="shared" si="30"/>
        <v>48250000</v>
      </c>
      <c r="AV479" s="457">
        <f t="shared" si="28"/>
        <v>48250000</v>
      </c>
      <c r="AW479" s="457">
        <f t="shared" si="29"/>
        <v>48050000</v>
      </c>
      <c r="AX479" s="475" t="s">
        <v>1050</v>
      </c>
    </row>
    <row r="480" spans="1:129" s="459" customFormat="1" ht="63.75" x14ac:dyDescent="0.25">
      <c r="A480" s="292">
        <v>320</v>
      </c>
      <c r="B480" s="454" t="s">
        <v>1048</v>
      </c>
      <c r="C480" s="292">
        <v>3</v>
      </c>
      <c r="D480" s="454" t="s">
        <v>146</v>
      </c>
      <c r="E480" s="292">
        <v>3</v>
      </c>
      <c r="F480" s="454" t="s">
        <v>147</v>
      </c>
      <c r="G480" s="292">
        <v>40</v>
      </c>
      <c r="H480" s="479" t="s">
        <v>169</v>
      </c>
      <c r="I480" s="322">
        <v>4001</v>
      </c>
      <c r="J480" s="479" t="s">
        <v>170</v>
      </c>
      <c r="K480" s="349" t="s">
        <v>1074</v>
      </c>
      <c r="L480" s="479" t="s">
        <v>171</v>
      </c>
      <c r="M480" s="296">
        <v>400101500</v>
      </c>
      <c r="N480" s="481" t="s">
        <v>171</v>
      </c>
      <c r="O480" s="465" t="s">
        <v>67</v>
      </c>
      <c r="P480" s="292">
        <v>120</v>
      </c>
      <c r="Q480" s="292">
        <v>0</v>
      </c>
      <c r="R480" s="337">
        <v>2020003630145</v>
      </c>
      <c r="S480" s="499" t="s">
        <v>1070</v>
      </c>
      <c r="T480" s="457">
        <f>300000000+100000000-367725000</f>
        <v>32275000</v>
      </c>
      <c r="U480" s="457">
        <f>T480</f>
        <v>32275000</v>
      </c>
      <c r="V480" s="457">
        <v>31775000</v>
      </c>
      <c r="W480" s="457"/>
      <c r="X480" s="457"/>
      <c r="Y480" s="457"/>
      <c r="Z480" s="457"/>
      <c r="AA480" s="457"/>
      <c r="AB480" s="457"/>
      <c r="AC480" s="457"/>
      <c r="AD480" s="457"/>
      <c r="AE480" s="457"/>
      <c r="AF480" s="457"/>
      <c r="AG480" s="457"/>
      <c r="AH480" s="457"/>
      <c r="AI480" s="457"/>
      <c r="AJ480" s="457"/>
      <c r="AK480" s="457"/>
      <c r="AL480" s="470"/>
      <c r="AM480" s="470"/>
      <c r="AN480" s="470"/>
      <c r="AO480" s="457"/>
      <c r="AP480" s="457"/>
      <c r="AQ480" s="457"/>
      <c r="AR480" s="457"/>
      <c r="AS480" s="457"/>
      <c r="AT480" s="457"/>
      <c r="AU480" s="457">
        <f t="shared" si="30"/>
        <v>32275000</v>
      </c>
      <c r="AV480" s="457">
        <f t="shared" si="28"/>
        <v>32275000</v>
      </c>
      <c r="AW480" s="457">
        <f t="shared" si="29"/>
        <v>31775000</v>
      </c>
      <c r="AX480" s="475" t="s">
        <v>1050</v>
      </c>
    </row>
    <row r="481" spans="1:129" s="533" customFormat="1" ht="63.75" x14ac:dyDescent="0.2">
      <c r="A481" s="523">
        <v>320</v>
      </c>
      <c r="B481" s="524" t="s">
        <v>1048</v>
      </c>
      <c r="C481" s="347"/>
      <c r="D481" s="524"/>
      <c r="E481" s="347">
        <v>3</v>
      </c>
      <c r="F481" s="524" t="s">
        <v>147</v>
      </c>
      <c r="G481" s="347" t="s">
        <v>183</v>
      </c>
      <c r="H481" s="524" t="s">
        <v>169</v>
      </c>
      <c r="I481" s="347" t="s">
        <v>1075</v>
      </c>
      <c r="J481" s="524" t="s">
        <v>170</v>
      </c>
      <c r="K481" s="347" t="s">
        <v>1076</v>
      </c>
      <c r="L481" s="524" t="s">
        <v>1077</v>
      </c>
      <c r="M481" s="319">
        <v>400100100</v>
      </c>
      <c r="N481" s="525" t="s">
        <v>1069</v>
      </c>
      <c r="O481" s="526" t="s">
        <v>26</v>
      </c>
      <c r="P481" s="320">
        <v>12</v>
      </c>
      <c r="Q481" s="320">
        <v>12</v>
      </c>
      <c r="R481" s="527">
        <v>2024003630016</v>
      </c>
      <c r="S481" s="528" t="s">
        <v>1078</v>
      </c>
      <c r="T481" s="529"/>
      <c r="U481" s="529"/>
      <c r="V481" s="529"/>
      <c r="W481" s="529"/>
      <c r="X481" s="529"/>
      <c r="Y481" s="529"/>
      <c r="Z481" s="529"/>
      <c r="AA481" s="529"/>
      <c r="AB481" s="529"/>
      <c r="AC481" s="529"/>
      <c r="AD481" s="529"/>
      <c r="AE481" s="529"/>
      <c r="AF481" s="529"/>
      <c r="AG481" s="529"/>
      <c r="AH481" s="529"/>
      <c r="AI481" s="529"/>
      <c r="AJ481" s="529"/>
      <c r="AK481" s="529"/>
      <c r="AL481" s="530"/>
      <c r="AM481" s="530"/>
      <c r="AN481" s="530"/>
      <c r="AO481" s="529">
        <v>43000000</v>
      </c>
      <c r="AP481" s="529">
        <v>0</v>
      </c>
      <c r="AQ481" s="529">
        <v>0</v>
      </c>
      <c r="AR481" s="529"/>
      <c r="AS481" s="529"/>
      <c r="AT481" s="529"/>
      <c r="AU481" s="529">
        <f t="shared" si="30"/>
        <v>43000000</v>
      </c>
      <c r="AV481" s="529">
        <f t="shared" si="28"/>
        <v>0</v>
      </c>
      <c r="AW481" s="529">
        <f t="shared" si="29"/>
        <v>0</v>
      </c>
      <c r="AX481" s="531" t="s">
        <v>1050</v>
      </c>
    </row>
    <row r="482" spans="1:129" s="533" customFormat="1" ht="63.75" x14ac:dyDescent="0.2">
      <c r="A482" s="523">
        <v>320</v>
      </c>
      <c r="B482" s="524" t="s">
        <v>1048</v>
      </c>
      <c r="C482" s="347"/>
      <c r="D482" s="524"/>
      <c r="E482" s="347">
        <v>3</v>
      </c>
      <c r="F482" s="524" t="s">
        <v>147</v>
      </c>
      <c r="G482" s="347" t="s">
        <v>183</v>
      </c>
      <c r="H482" s="524" t="s">
        <v>169</v>
      </c>
      <c r="I482" s="347" t="s">
        <v>1075</v>
      </c>
      <c r="J482" s="524" t="s">
        <v>170</v>
      </c>
      <c r="K482" s="347">
        <v>4001007</v>
      </c>
      <c r="L482" s="524" t="s">
        <v>1079</v>
      </c>
      <c r="M482" s="319">
        <v>400100700</v>
      </c>
      <c r="N482" s="525" t="s">
        <v>1080</v>
      </c>
      <c r="O482" s="526" t="s">
        <v>67</v>
      </c>
      <c r="P482" s="320">
        <v>10</v>
      </c>
      <c r="Q482" s="320">
        <v>11</v>
      </c>
      <c r="R482" s="527">
        <v>2024003630016</v>
      </c>
      <c r="S482" s="528" t="s">
        <v>1078</v>
      </c>
      <c r="T482" s="529"/>
      <c r="U482" s="529"/>
      <c r="V482" s="529"/>
      <c r="W482" s="529"/>
      <c r="X482" s="529"/>
      <c r="Y482" s="529"/>
      <c r="Z482" s="529"/>
      <c r="AA482" s="529"/>
      <c r="AB482" s="529"/>
      <c r="AC482" s="529"/>
      <c r="AD482" s="529"/>
      <c r="AE482" s="529"/>
      <c r="AF482" s="529"/>
      <c r="AG482" s="529"/>
      <c r="AH482" s="529"/>
      <c r="AI482" s="529"/>
      <c r="AJ482" s="529"/>
      <c r="AK482" s="529"/>
      <c r="AL482" s="530"/>
      <c r="AM482" s="530"/>
      <c r="AN482" s="530"/>
      <c r="AO482" s="529">
        <v>171000000</v>
      </c>
      <c r="AP482" s="529">
        <v>29000000</v>
      </c>
      <c r="AQ482" s="529">
        <v>20000000</v>
      </c>
      <c r="AR482" s="529"/>
      <c r="AS482" s="529"/>
      <c r="AT482" s="529"/>
      <c r="AU482" s="529">
        <f t="shared" si="30"/>
        <v>171000000</v>
      </c>
      <c r="AV482" s="529">
        <f t="shared" si="28"/>
        <v>29000000</v>
      </c>
      <c r="AW482" s="529">
        <f t="shared" si="29"/>
        <v>20000000</v>
      </c>
      <c r="AX482" s="531" t="s">
        <v>1050</v>
      </c>
    </row>
    <row r="483" spans="1:129" s="533" customFormat="1" ht="63.75" x14ac:dyDescent="0.2">
      <c r="A483" s="523">
        <v>320</v>
      </c>
      <c r="B483" s="524" t="s">
        <v>1048</v>
      </c>
      <c r="C483" s="347"/>
      <c r="D483" s="524"/>
      <c r="E483" s="347">
        <v>3</v>
      </c>
      <c r="F483" s="524" t="s">
        <v>147</v>
      </c>
      <c r="G483" s="347" t="s">
        <v>183</v>
      </c>
      <c r="H483" s="524" t="s">
        <v>169</v>
      </c>
      <c r="I483" s="347" t="s">
        <v>1075</v>
      </c>
      <c r="J483" s="524" t="s">
        <v>170</v>
      </c>
      <c r="K483" s="347" t="s">
        <v>1081</v>
      </c>
      <c r="L483" s="524" t="s">
        <v>1082</v>
      </c>
      <c r="M483" s="319">
        <v>400104100</v>
      </c>
      <c r="N483" s="525" t="s">
        <v>1082</v>
      </c>
      <c r="O483" s="526" t="s">
        <v>67</v>
      </c>
      <c r="P483" s="320">
        <v>45</v>
      </c>
      <c r="Q483" s="320">
        <v>0</v>
      </c>
      <c r="R483" s="527">
        <v>2024003630016</v>
      </c>
      <c r="S483" s="528" t="s">
        <v>1078</v>
      </c>
      <c r="T483" s="529">
        <v>551750000</v>
      </c>
      <c r="U483" s="529">
        <v>124439999</v>
      </c>
      <c r="V483" s="529">
        <v>61565000</v>
      </c>
      <c r="W483" s="529"/>
      <c r="X483" s="529"/>
      <c r="Y483" s="529"/>
      <c r="Z483" s="529"/>
      <c r="AA483" s="529"/>
      <c r="AB483" s="529"/>
      <c r="AC483" s="529"/>
      <c r="AD483" s="529"/>
      <c r="AE483" s="529"/>
      <c r="AF483" s="529"/>
      <c r="AG483" s="529"/>
      <c r="AH483" s="529"/>
      <c r="AI483" s="529"/>
      <c r="AJ483" s="529"/>
      <c r="AK483" s="529"/>
      <c r="AL483" s="530"/>
      <c r="AM483" s="530"/>
      <c r="AN483" s="530"/>
      <c r="AO483" s="529"/>
      <c r="AP483" s="529"/>
      <c r="AQ483" s="529"/>
      <c r="AR483" s="529"/>
      <c r="AS483" s="529"/>
      <c r="AT483" s="529"/>
      <c r="AU483" s="529">
        <f t="shared" si="30"/>
        <v>551750000</v>
      </c>
      <c r="AV483" s="529">
        <f t="shared" si="28"/>
        <v>124439999</v>
      </c>
      <c r="AW483" s="529">
        <f t="shared" si="29"/>
        <v>61565000</v>
      </c>
      <c r="AX483" s="531" t="s">
        <v>1050</v>
      </c>
    </row>
    <row r="484" spans="1:129" s="533" customFormat="1" ht="63.75" x14ac:dyDescent="0.2">
      <c r="A484" s="523">
        <v>320</v>
      </c>
      <c r="B484" s="524" t="s">
        <v>1048</v>
      </c>
      <c r="C484" s="347"/>
      <c r="D484" s="524"/>
      <c r="E484" s="347">
        <v>3</v>
      </c>
      <c r="F484" s="524" t="s">
        <v>147</v>
      </c>
      <c r="G484" s="347" t="s">
        <v>183</v>
      </c>
      <c r="H484" s="524" t="s">
        <v>169</v>
      </c>
      <c r="I484" s="347" t="s">
        <v>1075</v>
      </c>
      <c r="J484" s="524" t="s">
        <v>170</v>
      </c>
      <c r="K484" s="347" t="s">
        <v>1083</v>
      </c>
      <c r="L484" s="524" t="s">
        <v>1084</v>
      </c>
      <c r="M484" s="319">
        <v>400104400</v>
      </c>
      <c r="N484" s="525" t="s">
        <v>1084</v>
      </c>
      <c r="O484" s="526" t="s">
        <v>67</v>
      </c>
      <c r="P484" s="320">
        <v>5</v>
      </c>
      <c r="Q484" s="320">
        <v>0</v>
      </c>
      <c r="R484" s="527">
        <v>2024003630016</v>
      </c>
      <c r="S484" s="528" t="s">
        <v>1078</v>
      </c>
      <c r="T484" s="529">
        <v>367725000</v>
      </c>
      <c r="U484" s="529">
        <v>100160001</v>
      </c>
      <c r="V484" s="529">
        <v>61670000</v>
      </c>
      <c r="W484" s="529"/>
      <c r="X484" s="529"/>
      <c r="Y484" s="529"/>
      <c r="Z484" s="529"/>
      <c r="AA484" s="529"/>
      <c r="AB484" s="529"/>
      <c r="AC484" s="529"/>
      <c r="AD484" s="529"/>
      <c r="AE484" s="529"/>
      <c r="AF484" s="529"/>
      <c r="AG484" s="529"/>
      <c r="AH484" s="529"/>
      <c r="AI484" s="529"/>
      <c r="AJ484" s="529"/>
      <c r="AK484" s="529"/>
      <c r="AL484" s="530"/>
      <c r="AM484" s="530"/>
      <c r="AN484" s="530"/>
      <c r="AO484" s="529"/>
      <c r="AP484" s="529"/>
      <c r="AQ484" s="529"/>
      <c r="AR484" s="529"/>
      <c r="AS484" s="529"/>
      <c r="AT484" s="529"/>
      <c r="AU484" s="529">
        <f t="shared" si="30"/>
        <v>367725000</v>
      </c>
      <c r="AV484" s="529">
        <f t="shared" si="28"/>
        <v>100160001</v>
      </c>
      <c r="AW484" s="529">
        <f t="shared" si="29"/>
        <v>61670000</v>
      </c>
      <c r="AX484" s="531" t="s">
        <v>1050</v>
      </c>
    </row>
    <row r="485" spans="1:129" s="459" customFormat="1" ht="51" x14ac:dyDescent="0.25">
      <c r="A485" s="292">
        <v>320</v>
      </c>
      <c r="B485" s="454" t="s">
        <v>1048</v>
      </c>
      <c r="C485" s="292">
        <v>4</v>
      </c>
      <c r="D485" s="454" t="s">
        <v>36</v>
      </c>
      <c r="E485" s="292">
        <v>4</v>
      </c>
      <c r="F485" s="454" t="s">
        <v>102</v>
      </c>
      <c r="G485" s="292">
        <v>45</v>
      </c>
      <c r="H485" s="534" t="s">
        <v>22</v>
      </c>
      <c r="I485" s="535">
        <v>4599</v>
      </c>
      <c r="J485" s="536" t="s">
        <v>23</v>
      </c>
      <c r="K485" s="321" t="s">
        <v>1085</v>
      </c>
      <c r="L485" s="536" t="s">
        <v>116</v>
      </c>
      <c r="M485" s="321">
        <v>459901600</v>
      </c>
      <c r="N485" s="537" t="s">
        <v>116</v>
      </c>
      <c r="O485" s="465" t="s">
        <v>67</v>
      </c>
      <c r="P485" s="292">
        <v>4</v>
      </c>
      <c r="Q485" s="292">
        <v>0</v>
      </c>
      <c r="R485" s="337">
        <v>2022003630006</v>
      </c>
      <c r="S485" s="499" t="s">
        <v>1086</v>
      </c>
      <c r="T485" s="457"/>
      <c r="U485" s="457"/>
      <c r="V485" s="457"/>
      <c r="W485" s="457"/>
      <c r="X485" s="457"/>
      <c r="Y485" s="457"/>
      <c r="Z485" s="457"/>
      <c r="AA485" s="457"/>
      <c r="AB485" s="457"/>
      <c r="AC485" s="457"/>
      <c r="AD485" s="457"/>
      <c r="AE485" s="457"/>
      <c r="AF485" s="457"/>
      <c r="AG485" s="457"/>
      <c r="AH485" s="457"/>
      <c r="AI485" s="457"/>
      <c r="AJ485" s="457"/>
      <c r="AK485" s="457"/>
      <c r="AL485" s="457"/>
      <c r="AM485" s="457"/>
      <c r="AN485" s="457"/>
      <c r="AO485" s="457">
        <f>500000000-123718634.16+51004314.18-353710680.02</f>
        <v>73575000.00000006</v>
      </c>
      <c r="AP485" s="457">
        <f>AO485</f>
        <v>73575000.00000006</v>
      </c>
      <c r="AQ485" s="457">
        <v>68437500</v>
      </c>
      <c r="AR485" s="457"/>
      <c r="AS485" s="457"/>
      <c r="AT485" s="457"/>
      <c r="AU485" s="457">
        <f t="shared" si="30"/>
        <v>73575000.00000006</v>
      </c>
      <c r="AV485" s="457">
        <f t="shared" si="28"/>
        <v>73575000.00000006</v>
      </c>
      <c r="AW485" s="457">
        <f t="shared" si="29"/>
        <v>68437500</v>
      </c>
      <c r="AX485" s="475" t="s">
        <v>1050</v>
      </c>
    </row>
    <row r="486" spans="1:129" s="332" customFormat="1" ht="51" x14ac:dyDescent="0.2">
      <c r="A486" s="277">
        <v>320</v>
      </c>
      <c r="B486" s="325" t="s">
        <v>1048</v>
      </c>
      <c r="C486" s="259"/>
      <c r="D486" s="325"/>
      <c r="E486" s="259">
        <v>4</v>
      </c>
      <c r="F486" s="325" t="s">
        <v>102</v>
      </c>
      <c r="G486" s="259" t="s">
        <v>29</v>
      </c>
      <c r="H486" s="325" t="s">
        <v>22</v>
      </c>
      <c r="I486" s="259" t="s">
        <v>31</v>
      </c>
      <c r="J486" s="325" t="s">
        <v>32</v>
      </c>
      <c r="K486" s="259" t="s">
        <v>1085</v>
      </c>
      <c r="L486" s="325" t="s">
        <v>116</v>
      </c>
      <c r="M486" s="264">
        <v>459901600</v>
      </c>
      <c r="N486" s="333" t="s">
        <v>116</v>
      </c>
      <c r="O486" s="282" t="s">
        <v>67</v>
      </c>
      <c r="P486" s="272">
        <v>3</v>
      </c>
      <c r="Q486" s="272">
        <v>0</v>
      </c>
      <c r="R486" s="281">
        <v>2024003630015</v>
      </c>
      <c r="S486" s="327" t="s">
        <v>1086</v>
      </c>
      <c r="T486" s="328"/>
      <c r="U486" s="328"/>
      <c r="V486" s="328"/>
      <c r="W486" s="328"/>
      <c r="X486" s="328"/>
      <c r="Y486" s="328"/>
      <c r="Z486" s="328"/>
      <c r="AA486" s="328"/>
      <c r="AB486" s="328"/>
      <c r="AC486" s="328"/>
      <c r="AD486" s="328"/>
      <c r="AE486" s="328"/>
      <c r="AF486" s="328"/>
      <c r="AG486" s="328"/>
      <c r="AH486" s="328"/>
      <c r="AI486" s="328"/>
      <c r="AJ486" s="328"/>
      <c r="AK486" s="328"/>
      <c r="AL486" s="329"/>
      <c r="AM486" s="329"/>
      <c r="AN486" s="329"/>
      <c r="AO486" s="328">
        <v>353710680.01999998</v>
      </c>
      <c r="AP486" s="328">
        <v>292385680.01999998</v>
      </c>
      <c r="AQ486" s="328">
        <v>57550000</v>
      </c>
      <c r="AR486" s="328"/>
      <c r="AS486" s="328"/>
      <c r="AT486" s="328"/>
      <c r="AU486" s="328">
        <f t="shared" si="30"/>
        <v>353710680.01999998</v>
      </c>
      <c r="AV486" s="328">
        <f t="shared" si="28"/>
        <v>292385680.01999998</v>
      </c>
      <c r="AW486" s="328">
        <f t="shared" si="29"/>
        <v>57550000</v>
      </c>
      <c r="AX486" s="330" t="s">
        <v>1050</v>
      </c>
    </row>
    <row r="487" spans="1:129" s="459" customFormat="1" ht="63.75" x14ac:dyDescent="0.25">
      <c r="A487" s="292">
        <v>320</v>
      </c>
      <c r="B487" s="538" t="s">
        <v>1048</v>
      </c>
      <c r="C487" s="292">
        <v>3</v>
      </c>
      <c r="D487" s="481" t="s">
        <v>1087</v>
      </c>
      <c r="E487" s="296">
        <v>3</v>
      </c>
      <c r="F487" s="481" t="s">
        <v>1061</v>
      </c>
      <c r="G487" s="292">
        <v>40</v>
      </c>
      <c r="H487" s="539" t="s">
        <v>169</v>
      </c>
      <c r="I487" s="322">
        <v>4003</v>
      </c>
      <c r="J487" s="481" t="s">
        <v>1088</v>
      </c>
      <c r="K487" s="322">
        <v>4003025</v>
      </c>
      <c r="L487" s="479" t="s">
        <v>1089</v>
      </c>
      <c r="M487" s="322">
        <v>400302500</v>
      </c>
      <c r="N487" s="539" t="s">
        <v>1090</v>
      </c>
      <c r="O487" s="465" t="s">
        <v>67</v>
      </c>
      <c r="P487" s="292">
        <v>1</v>
      </c>
      <c r="Q487" s="292">
        <v>0</v>
      </c>
      <c r="R487" s="292" t="s">
        <v>1091</v>
      </c>
      <c r="S487" s="465" t="s">
        <v>1092</v>
      </c>
      <c r="T487" s="457">
        <f>250000000+500000000-588194348.88</f>
        <v>161805651.12</v>
      </c>
      <c r="U487" s="540">
        <f>T487</f>
        <v>161805651.12</v>
      </c>
      <c r="V487" s="540">
        <v>0</v>
      </c>
      <c r="W487" s="538"/>
      <c r="X487" s="538"/>
      <c r="Y487" s="538"/>
      <c r="Z487" s="541"/>
      <c r="AA487" s="541"/>
      <c r="AB487" s="541"/>
      <c r="AC487" s="541"/>
      <c r="AD487" s="541"/>
      <c r="AE487" s="541"/>
      <c r="AF487" s="541"/>
      <c r="AG487" s="541"/>
      <c r="AH487" s="541"/>
      <c r="AI487" s="541"/>
      <c r="AJ487" s="541"/>
      <c r="AK487" s="541"/>
      <c r="AL487" s="541"/>
      <c r="AM487" s="541"/>
      <c r="AN487" s="541"/>
      <c r="AO487" s="541"/>
      <c r="AP487" s="541"/>
      <c r="AQ487" s="541"/>
      <c r="AR487" s="541"/>
      <c r="AS487" s="541"/>
      <c r="AT487" s="541"/>
      <c r="AU487" s="457">
        <f t="shared" si="30"/>
        <v>161805651.12</v>
      </c>
      <c r="AV487" s="457">
        <f t="shared" si="28"/>
        <v>161805651.12</v>
      </c>
      <c r="AW487" s="457">
        <f t="shared" si="29"/>
        <v>0</v>
      </c>
      <c r="AX487" s="542" t="s">
        <v>1050</v>
      </c>
    </row>
    <row r="488" spans="1:129" s="533" customFormat="1" ht="63.75" x14ac:dyDescent="0.2">
      <c r="A488" s="523">
        <v>320</v>
      </c>
      <c r="B488" s="524" t="s">
        <v>1048</v>
      </c>
      <c r="C488" s="347"/>
      <c r="D488" s="524"/>
      <c r="E488" s="347">
        <v>3</v>
      </c>
      <c r="F488" s="524" t="s">
        <v>147</v>
      </c>
      <c r="G488" s="347" t="s">
        <v>183</v>
      </c>
      <c r="H488" s="524" t="s">
        <v>169</v>
      </c>
      <c r="I488" s="347" t="s">
        <v>184</v>
      </c>
      <c r="J488" s="524" t="s">
        <v>172</v>
      </c>
      <c r="K488" s="347" t="s">
        <v>188</v>
      </c>
      <c r="L488" s="524" t="s">
        <v>177</v>
      </c>
      <c r="M488" s="319">
        <v>400302500</v>
      </c>
      <c r="N488" s="525" t="s">
        <v>178</v>
      </c>
      <c r="O488" s="526" t="s">
        <v>67</v>
      </c>
      <c r="P488" s="320">
        <v>1</v>
      </c>
      <c r="Q488" s="320">
        <v>0</v>
      </c>
      <c r="R488" s="527">
        <v>2024003630007</v>
      </c>
      <c r="S488" s="528" t="s">
        <v>1093</v>
      </c>
      <c r="T488" s="529">
        <f>700000000-12156250</f>
        <v>687843750</v>
      </c>
      <c r="U488" s="529">
        <v>80373334</v>
      </c>
      <c r="V488" s="529">
        <v>43465000</v>
      </c>
      <c r="W488" s="529"/>
      <c r="X488" s="529"/>
      <c r="Y488" s="529"/>
      <c r="Z488" s="529"/>
      <c r="AA488" s="529"/>
      <c r="AB488" s="529"/>
      <c r="AC488" s="529"/>
      <c r="AD488" s="529"/>
      <c r="AE488" s="529"/>
      <c r="AF488" s="529"/>
      <c r="AG488" s="529"/>
      <c r="AH488" s="529"/>
      <c r="AI488" s="529"/>
      <c r="AJ488" s="529"/>
      <c r="AK488" s="529"/>
      <c r="AL488" s="530"/>
      <c r="AM488" s="530"/>
      <c r="AN488" s="530"/>
      <c r="AO488" s="529"/>
      <c r="AP488" s="529"/>
      <c r="AQ488" s="529"/>
      <c r="AR488" s="529"/>
      <c r="AS488" s="529"/>
      <c r="AT488" s="529"/>
      <c r="AU488" s="529">
        <f t="shared" si="30"/>
        <v>687843750</v>
      </c>
      <c r="AV488" s="529">
        <f>SUM(U488,X488,AA488,AD488,AG488,AJ488,AM488,AP488,AS488)</f>
        <v>80373334</v>
      </c>
      <c r="AW488" s="529">
        <f>SUM(V488,Y488,AB488,AE488,AH488,AK488,AN488,AQ488,AT488)</f>
        <v>43465000</v>
      </c>
      <c r="AX488" s="531" t="s">
        <v>1050</v>
      </c>
      <c r="AY488" s="543"/>
      <c r="BA488" s="543"/>
      <c r="BB488" s="543"/>
      <c r="BC488" s="543"/>
      <c r="BD488" s="543"/>
      <c r="BE488" s="543"/>
      <c r="BF488" s="543"/>
      <c r="BG488" s="543"/>
      <c r="BH488" s="543"/>
      <c r="BI488" s="543"/>
      <c r="BJ488" s="543"/>
      <c r="BK488" s="543"/>
      <c r="BL488" s="543"/>
      <c r="BM488" s="543"/>
      <c r="BN488" s="543"/>
      <c r="BO488" s="543"/>
      <c r="BP488" s="543"/>
      <c r="BQ488" s="543"/>
      <c r="BR488" s="543"/>
      <c r="BS488" s="543"/>
      <c r="BT488" s="543"/>
      <c r="BU488" s="543"/>
      <c r="BV488" s="543"/>
      <c r="BW488" s="543"/>
    </row>
    <row r="489" spans="1:129" s="533" customFormat="1" ht="63.75" x14ac:dyDescent="0.2">
      <c r="A489" s="523">
        <v>320</v>
      </c>
      <c r="B489" s="524" t="s">
        <v>1048</v>
      </c>
      <c r="C489" s="347"/>
      <c r="D489" s="524"/>
      <c r="E489" s="347">
        <v>3</v>
      </c>
      <c r="F489" s="524" t="s">
        <v>147</v>
      </c>
      <c r="G489" s="347" t="s">
        <v>183</v>
      </c>
      <c r="H489" s="524" t="s">
        <v>169</v>
      </c>
      <c r="I489" s="347" t="s">
        <v>184</v>
      </c>
      <c r="J489" s="524" t="s">
        <v>172</v>
      </c>
      <c r="K489" s="347" t="s">
        <v>190</v>
      </c>
      <c r="L489" s="524" t="s">
        <v>179</v>
      </c>
      <c r="M489" s="319">
        <v>400304200</v>
      </c>
      <c r="N489" s="525" t="s">
        <v>180</v>
      </c>
      <c r="O489" s="526" t="s">
        <v>67</v>
      </c>
      <c r="P489" s="320">
        <v>1</v>
      </c>
      <c r="Q489" s="320">
        <v>0</v>
      </c>
      <c r="R489" s="527">
        <v>2024003630007</v>
      </c>
      <c r="S489" s="528" t="s">
        <v>1093</v>
      </c>
      <c r="T489" s="529">
        <f>50000000+12156250</f>
        <v>62156250</v>
      </c>
      <c r="U489" s="529">
        <f>T489</f>
        <v>62156250</v>
      </c>
      <c r="V489" s="529">
        <v>0</v>
      </c>
      <c r="W489" s="529"/>
      <c r="X489" s="529"/>
      <c r="Y489" s="529"/>
      <c r="Z489" s="529"/>
      <c r="AA489" s="529"/>
      <c r="AB489" s="529"/>
      <c r="AC489" s="529"/>
      <c r="AD489" s="529"/>
      <c r="AE489" s="529"/>
      <c r="AF489" s="529"/>
      <c r="AG489" s="529"/>
      <c r="AH489" s="529"/>
      <c r="AI489" s="529"/>
      <c r="AJ489" s="529"/>
      <c r="AK489" s="529"/>
      <c r="AL489" s="530"/>
      <c r="AM489" s="530"/>
      <c r="AN489" s="530"/>
      <c r="AO489" s="529"/>
      <c r="AP489" s="529"/>
      <c r="AQ489" s="529"/>
      <c r="AR489" s="529"/>
      <c r="AS489" s="529"/>
      <c r="AT489" s="529"/>
      <c r="AU489" s="529">
        <f t="shared" si="30"/>
        <v>62156250</v>
      </c>
      <c r="AV489" s="529">
        <f t="shared" si="28"/>
        <v>62156250</v>
      </c>
      <c r="AW489" s="529">
        <f t="shared" si="29"/>
        <v>0</v>
      </c>
      <c r="AX489" s="531" t="s">
        <v>1050</v>
      </c>
      <c r="AY489" s="543"/>
      <c r="BA489" s="543"/>
      <c r="BB489" s="543"/>
      <c r="BC489" s="543"/>
      <c r="BD489" s="543"/>
      <c r="BE489" s="543"/>
      <c r="BF489" s="543"/>
      <c r="BG489" s="543"/>
      <c r="BH489" s="543"/>
      <c r="BI489" s="543"/>
      <c r="BJ489" s="543"/>
      <c r="BK489" s="543"/>
      <c r="BL489" s="543"/>
      <c r="BM489" s="543"/>
      <c r="BN489" s="543"/>
      <c r="BO489" s="543"/>
      <c r="BP489" s="543"/>
      <c r="BQ489" s="543"/>
      <c r="BR489" s="543"/>
      <c r="BS489" s="543"/>
      <c r="BT489" s="543"/>
      <c r="BU489" s="543"/>
      <c r="BV489" s="543"/>
      <c r="BW489" s="543"/>
    </row>
    <row r="490" spans="1:129" s="459" customFormat="1" ht="63.75" x14ac:dyDescent="0.25">
      <c r="A490" s="323">
        <v>321</v>
      </c>
      <c r="B490" s="544" t="s">
        <v>1094</v>
      </c>
      <c r="C490" s="323">
        <v>3</v>
      </c>
      <c r="D490" s="544" t="s">
        <v>146</v>
      </c>
      <c r="E490" s="323">
        <v>3</v>
      </c>
      <c r="F490" s="544" t="s">
        <v>147</v>
      </c>
      <c r="G490" s="323">
        <v>24</v>
      </c>
      <c r="H490" s="544" t="s">
        <v>148</v>
      </c>
      <c r="I490" s="323">
        <v>2409</v>
      </c>
      <c r="J490" s="545" t="s">
        <v>1095</v>
      </c>
      <c r="K490" s="323">
        <v>2409014</v>
      </c>
      <c r="L490" s="544" t="s">
        <v>173</v>
      </c>
      <c r="M490" s="323">
        <v>240901400</v>
      </c>
      <c r="N490" s="546" t="s">
        <v>324</v>
      </c>
      <c r="O490" s="324" t="s">
        <v>26</v>
      </c>
      <c r="P490" s="324">
        <v>1</v>
      </c>
      <c r="Q490" s="324">
        <v>1</v>
      </c>
      <c r="R490" s="547">
        <v>2020003630149</v>
      </c>
      <c r="S490" s="548" t="s">
        <v>1096</v>
      </c>
      <c r="T490" s="549"/>
      <c r="U490" s="549"/>
      <c r="V490" s="549"/>
      <c r="W490" s="550"/>
      <c r="X490" s="457"/>
      <c r="Y490" s="457"/>
      <c r="Z490" s="457"/>
      <c r="AA490" s="457"/>
      <c r="AB490" s="457"/>
      <c r="AC490" s="457"/>
      <c r="AD490" s="457"/>
      <c r="AE490" s="457"/>
      <c r="AF490" s="457"/>
      <c r="AG490" s="457"/>
      <c r="AH490" s="457"/>
      <c r="AI490" s="457"/>
      <c r="AJ490" s="457"/>
      <c r="AK490" s="457"/>
      <c r="AL490" s="457"/>
      <c r="AM490" s="457"/>
      <c r="AN490" s="457"/>
      <c r="AO490" s="457">
        <f>29925000-4725000</f>
        <v>25200000</v>
      </c>
      <c r="AP490" s="457">
        <v>25200000</v>
      </c>
      <c r="AQ490" s="457">
        <v>25200000</v>
      </c>
      <c r="AR490" s="457"/>
      <c r="AS490" s="457"/>
      <c r="AT490" s="457"/>
      <c r="AU490" s="457">
        <f t="shared" si="30"/>
        <v>25200000</v>
      </c>
      <c r="AV490" s="457">
        <f t="shared" ref="AV490:AV497" si="31">SUM(U490,X490,AA490,AD490,AG490,AJ490,AM490,AP490,AS490)</f>
        <v>25200000</v>
      </c>
      <c r="AW490" s="457">
        <f t="shared" ref="AW490:AW497" si="32">SUM(V490,Y490,AB490,AE490,AH490,AK490,AN490,AQ490,AT490)</f>
        <v>25200000</v>
      </c>
      <c r="AX490" s="475" t="s">
        <v>1097</v>
      </c>
    </row>
    <row r="491" spans="1:129" s="459" customFormat="1" ht="63.75" x14ac:dyDescent="0.25">
      <c r="A491" s="323">
        <v>321</v>
      </c>
      <c r="B491" s="544" t="s">
        <v>1094</v>
      </c>
      <c r="C491" s="323">
        <v>3</v>
      </c>
      <c r="D491" s="544" t="s">
        <v>146</v>
      </c>
      <c r="E491" s="551">
        <v>3</v>
      </c>
      <c r="F491" s="552" t="s">
        <v>147</v>
      </c>
      <c r="G491" s="551">
        <v>24</v>
      </c>
      <c r="H491" s="552" t="s">
        <v>148</v>
      </c>
      <c r="I491" s="323">
        <v>2409</v>
      </c>
      <c r="J491" s="544" t="s">
        <v>1095</v>
      </c>
      <c r="K491" s="323">
        <v>2409039</v>
      </c>
      <c r="L491" s="544" t="s">
        <v>1098</v>
      </c>
      <c r="M491" s="323">
        <v>240903905</v>
      </c>
      <c r="N491" s="546" t="s">
        <v>1099</v>
      </c>
      <c r="O491" s="324" t="s">
        <v>26</v>
      </c>
      <c r="P491" s="324">
        <v>1</v>
      </c>
      <c r="Q491" s="324">
        <v>1</v>
      </c>
      <c r="R491" s="553">
        <v>2020003630149</v>
      </c>
      <c r="S491" s="554" t="s">
        <v>1096</v>
      </c>
      <c r="T491" s="549"/>
      <c r="U491" s="549"/>
      <c r="V491" s="549"/>
      <c r="W491" s="550"/>
      <c r="X491" s="457"/>
      <c r="Y491" s="457"/>
      <c r="Z491" s="457"/>
      <c r="AA491" s="457"/>
      <c r="AB491" s="457"/>
      <c r="AC491" s="457"/>
      <c r="AD491" s="457"/>
      <c r="AE491" s="457"/>
      <c r="AF491" s="457"/>
      <c r="AG491" s="457"/>
      <c r="AH491" s="457"/>
      <c r="AI491" s="457"/>
      <c r="AJ491" s="457"/>
      <c r="AK491" s="457"/>
      <c r="AL491" s="457"/>
      <c r="AM491" s="457"/>
      <c r="AN491" s="457"/>
      <c r="AO491" s="457">
        <f>87160209.9-49910209.9</f>
        <v>37250000.000000007</v>
      </c>
      <c r="AP491" s="457">
        <v>37250000</v>
      </c>
      <c r="AQ491" s="457">
        <v>37250000</v>
      </c>
      <c r="AR491" s="457"/>
      <c r="AS491" s="457"/>
      <c r="AT491" s="457"/>
      <c r="AU491" s="457">
        <f t="shared" si="30"/>
        <v>37250000.000000007</v>
      </c>
      <c r="AV491" s="457">
        <f t="shared" si="31"/>
        <v>37250000</v>
      </c>
      <c r="AW491" s="457">
        <f t="shared" si="32"/>
        <v>37250000</v>
      </c>
      <c r="AX491" s="475" t="s">
        <v>1097</v>
      </c>
    </row>
    <row r="492" spans="1:129" s="332" customFormat="1" ht="63.75" x14ac:dyDescent="0.2">
      <c r="A492" s="277">
        <v>321</v>
      </c>
      <c r="B492" s="325" t="s">
        <v>1094</v>
      </c>
      <c r="C492" s="259"/>
      <c r="D492" s="325"/>
      <c r="E492" s="259">
        <v>3</v>
      </c>
      <c r="F492" s="325" t="s">
        <v>147</v>
      </c>
      <c r="G492" s="259">
        <v>24</v>
      </c>
      <c r="H492" s="325" t="s">
        <v>148</v>
      </c>
      <c r="I492" s="259">
        <v>2409</v>
      </c>
      <c r="J492" s="325" t="s">
        <v>1095</v>
      </c>
      <c r="K492" s="259">
        <v>2409022</v>
      </c>
      <c r="L492" s="325" t="s">
        <v>1100</v>
      </c>
      <c r="M492" s="264">
        <v>240902200</v>
      </c>
      <c r="N492" s="333" t="s">
        <v>1101</v>
      </c>
      <c r="O492" s="282" t="s">
        <v>67</v>
      </c>
      <c r="P492" s="272">
        <v>500</v>
      </c>
      <c r="Q492" s="272">
        <v>1438</v>
      </c>
      <c r="R492" s="281">
        <v>2024003630018</v>
      </c>
      <c r="S492" s="327" t="s">
        <v>1102</v>
      </c>
      <c r="T492" s="328"/>
      <c r="U492" s="328"/>
      <c r="V492" s="328"/>
      <c r="W492" s="328"/>
      <c r="X492" s="328"/>
      <c r="Y492" s="328"/>
      <c r="Z492" s="328"/>
      <c r="AA492" s="328"/>
      <c r="AB492" s="328"/>
      <c r="AC492" s="328"/>
      <c r="AD492" s="328"/>
      <c r="AE492" s="328"/>
      <c r="AF492" s="328"/>
      <c r="AG492" s="328"/>
      <c r="AH492" s="328"/>
      <c r="AI492" s="328"/>
      <c r="AJ492" s="328"/>
      <c r="AK492" s="328"/>
      <c r="AL492" s="329"/>
      <c r="AM492" s="329"/>
      <c r="AN492" s="329"/>
      <c r="AO492" s="328">
        <v>108042441.66</v>
      </c>
      <c r="AP492" s="328">
        <v>103564108</v>
      </c>
      <c r="AQ492" s="328">
        <v>46990914.5</v>
      </c>
      <c r="AR492" s="328"/>
      <c r="AS492" s="328"/>
      <c r="AT492" s="328"/>
      <c r="AU492" s="328">
        <f t="shared" si="30"/>
        <v>108042441.66</v>
      </c>
      <c r="AV492" s="328">
        <f t="shared" si="31"/>
        <v>103564108</v>
      </c>
      <c r="AW492" s="328">
        <f t="shared" si="32"/>
        <v>46990914.5</v>
      </c>
      <c r="AX492" s="330" t="s">
        <v>1097</v>
      </c>
      <c r="AY492" s="331"/>
      <c r="AZ492" s="331"/>
      <c r="BA492" s="331"/>
      <c r="BB492" s="331"/>
      <c r="BC492" s="331"/>
      <c r="BD492" s="331"/>
      <c r="BE492" s="331"/>
      <c r="BF492" s="331"/>
      <c r="BG492" s="331"/>
      <c r="BH492" s="331"/>
      <c r="BI492" s="331"/>
      <c r="BJ492" s="331"/>
      <c r="BK492" s="331"/>
      <c r="BL492" s="331"/>
      <c r="BM492" s="331"/>
      <c r="BN492" s="331"/>
      <c r="BO492" s="331"/>
      <c r="BP492" s="331"/>
      <c r="BQ492" s="331"/>
      <c r="BR492" s="331"/>
      <c r="BS492" s="331"/>
      <c r="BT492" s="331"/>
      <c r="BU492" s="331"/>
      <c r="BV492" s="331"/>
      <c r="BW492" s="331"/>
      <c r="BX492" s="331"/>
      <c r="BY492" s="331"/>
      <c r="BZ492" s="331"/>
      <c r="CA492" s="331"/>
      <c r="CB492" s="331"/>
      <c r="CC492" s="331"/>
      <c r="CD492" s="331"/>
      <c r="CE492" s="331"/>
      <c r="CF492" s="331"/>
      <c r="CG492" s="331"/>
      <c r="CH492" s="331"/>
      <c r="CI492" s="331"/>
      <c r="CJ492" s="331"/>
      <c r="CK492" s="331"/>
      <c r="CL492" s="331"/>
      <c r="CM492" s="331"/>
      <c r="CN492" s="331"/>
      <c r="CO492" s="331"/>
      <c r="CP492" s="331"/>
      <c r="CQ492" s="331"/>
      <c r="CR492" s="331"/>
      <c r="CS492" s="331"/>
      <c r="CT492" s="331"/>
      <c r="CU492" s="331"/>
      <c r="CV492" s="331"/>
      <c r="CW492" s="331"/>
      <c r="CX492" s="331"/>
      <c r="CY492" s="331"/>
      <c r="CZ492" s="331"/>
      <c r="DA492" s="331"/>
      <c r="DB492" s="331"/>
      <c r="DC492" s="331"/>
      <c r="DD492" s="331"/>
      <c r="DE492" s="331"/>
      <c r="DF492" s="331"/>
      <c r="DG492" s="331"/>
      <c r="DH492" s="331"/>
      <c r="DI492" s="331"/>
      <c r="DJ492" s="331"/>
      <c r="DK492" s="331"/>
      <c r="DL492" s="331"/>
      <c r="DM492" s="331"/>
      <c r="DN492" s="331"/>
      <c r="DO492" s="331"/>
      <c r="DP492" s="331"/>
      <c r="DQ492" s="331"/>
      <c r="DR492" s="331"/>
      <c r="DS492" s="331"/>
      <c r="DT492" s="331"/>
      <c r="DU492" s="331"/>
      <c r="DV492" s="331"/>
      <c r="DW492" s="331"/>
      <c r="DX492" s="331"/>
      <c r="DY492" s="331"/>
    </row>
    <row r="493" spans="1:129" s="332" customFormat="1" ht="63.75" x14ac:dyDescent="0.2">
      <c r="A493" s="277">
        <v>321</v>
      </c>
      <c r="B493" s="325" t="s">
        <v>1094</v>
      </c>
      <c r="C493" s="259"/>
      <c r="D493" s="325"/>
      <c r="E493" s="259">
        <v>3</v>
      </c>
      <c r="F493" s="325" t="s">
        <v>147</v>
      </c>
      <c r="G493" s="259">
        <v>24</v>
      </c>
      <c r="H493" s="325" t="s">
        <v>148</v>
      </c>
      <c r="I493" s="259">
        <v>2409</v>
      </c>
      <c r="J493" s="325" t="s">
        <v>1095</v>
      </c>
      <c r="K493" s="259" t="s">
        <v>1103</v>
      </c>
      <c r="L493" s="325" t="s">
        <v>1104</v>
      </c>
      <c r="M493" s="264" t="s">
        <v>1105</v>
      </c>
      <c r="N493" s="333" t="s">
        <v>1106</v>
      </c>
      <c r="O493" s="282" t="s">
        <v>67</v>
      </c>
      <c r="P493" s="272">
        <v>25</v>
      </c>
      <c r="Q493" s="272">
        <v>192</v>
      </c>
      <c r="R493" s="281">
        <v>2024003630018</v>
      </c>
      <c r="S493" s="327" t="s">
        <v>1102</v>
      </c>
      <c r="T493" s="328"/>
      <c r="U493" s="328"/>
      <c r="V493" s="328"/>
      <c r="W493" s="328"/>
      <c r="X493" s="328"/>
      <c r="Y493" s="328"/>
      <c r="Z493" s="328"/>
      <c r="AA493" s="328"/>
      <c r="AB493" s="328"/>
      <c r="AC493" s="328"/>
      <c r="AD493" s="328"/>
      <c r="AE493" s="328"/>
      <c r="AF493" s="328"/>
      <c r="AG493" s="328"/>
      <c r="AH493" s="328"/>
      <c r="AI493" s="328"/>
      <c r="AJ493" s="328"/>
      <c r="AK493" s="328"/>
      <c r="AL493" s="329"/>
      <c r="AM493" s="329"/>
      <c r="AN493" s="329"/>
      <c r="AO493" s="328">
        <f>23750000+26875000+20000000+10000000</f>
        <v>80625000</v>
      </c>
      <c r="AP493" s="328">
        <v>76745890</v>
      </c>
      <c r="AQ493" s="328">
        <v>55889455.5</v>
      </c>
      <c r="AR493" s="328"/>
      <c r="AS493" s="328"/>
      <c r="AT493" s="328"/>
      <c r="AU493" s="328">
        <f t="shared" si="30"/>
        <v>80625000</v>
      </c>
      <c r="AV493" s="328">
        <f t="shared" si="31"/>
        <v>76745890</v>
      </c>
      <c r="AW493" s="328">
        <f t="shared" si="32"/>
        <v>55889455.5</v>
      </c>
      <c r="AX493" s="330" t="s">
        <v>1097</v>
      </c>
      <c r="AY493" s="331"/>
      <c r="AZ493" s="331"/>
      <c r="BA493" s="331"/>
      <c r="BB493" s="331"/>
      <c r="BC493" s="331"/>
      <c r="BD493" s="331"/>
      <c r="BE493" s="331"/>
      <c r="BF493" s="331"/>
      <c r="BG493" s="331"/>
      <c r="BH493" s="331"/>
      <c r="BI493" s="331"/>
      <c r="BJ493" s="331"/>
      <c r="BK493" s="331"/>
      <c r="BL493" s="331"/>
      <c r="BM493" s="331"/>
      <c r="BN493" s="331"/>
      <c r="BO493" s="331"/>
      <c r="BP493" s="331"/>
      <c r="BQ493" s="331"/>
      <c r="BR493" s="331"/>
      <c r="BS493" s="331"/>
      <c r="BT493" s="331"/>
      <c r="BU493" s="331"/>
      <c r="BV493" s="331"/>
      <c r="BW493" s="331"/>
      <c r="BX493" s="331"/>
      <c r="BY493" s="331"/>
      <c r="BZ493" s="331"/>
      <c r="CA493" s="331"/>
      <c r="CB493" s="331"/>
      <c r="CC493" s="331"/>
      <c r="CD493" s="331"/>
      <c r="CE493" s="331"/>
      <c r="CF493" s="331"/>
      <c r="CG493" s="331"/>
      <c r="CH493" s="331"/>
      <c r="CI493" s="331"/>
      <c r="CJ493" s="331"/>
      <c r="CK493" s="331"/>
      <c r="CL493" s="331"/>
      <c r="CM493" s="331"/>
      <c r="CN493" s="331"/>
      <c r="CO493" s="331"/>
      <c r="CP493" s="331"/>
      <c r="CQ493" s="331"/>
      <c r="CR493" s="331"/>
      <c r="CS493" s="331"/>
      <c r="CT493" s="331"/>
      <c r="CU493" s="331"/>
      <c r="CV493" s="331"/>
      <c r="CW493" s="331"/>
      <c r="CX493" s="331"/>
      <c r="CY493" s="331"/>
      <c r="CZ493" s="331"/>
      <c r="DA493" s="331"/>
      <c r="DB493" s="331"/>
      <c r="DC493" s="331"/>
      <c r="DD493" s="331"/>
      <c r="DE493" s="331"/>
      <c r="DF493" s="331"/>
      <c r="DG493" s="331"/>
      <c r="DH493" s="331"/>
      <c r="DI493" s="331"/>
      <c r="DJ493" s="331"/>
      <c r="DK493" s="331"/>
      <c r="DL493" s="331"/>
      <c r="DM493" s="331"/>
      <c r="DN493" s="331"/>
      <c r="DO493" s="331"/>
      <c r="DP493" s="331"/>
      <c r="DQ493" s="331"/>
      <c r="DR493" s="331"/>
      <c r="DS493" s="331"/>
      <c r="DT493" s="331"/>
      <c r="DU493" s="331"/>
      <c r="DV493" s="331"/>
      <c r="DW493" s="331"/>
      <c r="DX493" s="331"/>
      <c r="DY493" s="331"/>
    </row>
    <row r="494" spans="1:129" s="332" customFormat="1" ht="63.75" x14ac:dyDescent="0.2">
      <c r="A494" s="277">
        <v>321</v>
      </c>
      <c r="B494" s="325" t="s">
        <v>1094</v>
      </c>
      <c r="C494" s="259"/>
      <c r="D494" s="325"/>
      <c r="E494" s="259">
        <v>3</v>
      </c>
      <c r="F494" s="325" t="s">
        <v>147</v>
      </c>
      <c r="G494" s="259">
        <v>24</v>
      </c>
      <c r="H494" s="325" t="s">
        <v>148</v>
      </c>
      <c r="I494" s="259">
        <v>2409</v>
      </c>
      <c r="J494" s="325" t="s">
        <v>1095</v>
      </c>
      <c r="K494" s="259" t="s">
        <v>1107</v>
      </c>
      <c r="L494" s="325" t="s">
        <v>1098</v>
      </c>
      <c r="M494" s="264" t="s">
        <v>1108</v>
      </c>
      <c r="N494" s="333" t="s">
        <v>1109</v>
      </c>
      <c r="O494" s="282" t="s">
        <v>67</v>
      </c>
      <c r="P494" s="272">
        <v>7</v>
      </c>
      <c r="Q494" s="272">
        <v>14.106999999999999</v>
      </c>
      <c r="R494" s="281">
        <v>2024003630018</v>
      </c>
      <c r="S494" s="327" t="s">
        <v>1102</v>
      </c>
      <c r="T494" s="328"/>
      <c r="U494" s="328"/>
      <c r="V494" s="328"/>
      <c r="W494" s="328"/>
      <c r="X494" s="328"/>
      <c r="Y494" s="328"/>
      <c r="Z494" s="328"/>
      <c r="AA494" s="328"/>
      <c r="AB494" s="328"/>
      <c r="AC494" s="328"/>
      <c r="AD494" s="328"/>
      <c r="AE494" s="328"/>
      <c r="AF494" s="328"/>
      <c r="AG494" s="328"/>
      <c r="AH494" s="328"/>
      <c r="AI494" s="328"/>
      <c r="AJ494" s="328"/>
      <c r="AK494" s="328"/>
      <c r="AL494" s="329"/>
      <c r="AM494" s="329"/>
      <c r="AN494" s="329"/>
      <c r="AO494" s="328">
        <v>103750000</v>
      </c>
      <c r="AP494" s="328">
        <v>77450000</v>
      </c>
      <c r="AQ494" s="328">
        <v>8208000</v>
      </c>
      <c r="AR494" s="328"/>
      <c r="AS494" s="328"/>
      <c r="AT494" s="328"/>
      <c r="AU494" s="328">
        <f t="shared" si="30"/>
        <v>103750000</v>
      </c>
      <c r="AV494" s="328">
        <f t="shared" si="31"/>
        <v>77450000</v>
      </c>
      <c r="AW494" s="328">
        <f t="shared" si="32"/>
        <v>8208000</v>
      </c>
      <c r="AX494" s="330" t="s">
        <v>1097</v>
      </c>
    </row>
    <row r="495" spans="1:129" s="332" customFormat="1" ht="63.75" x14ac:dyDescent="0.2">
      <c r="A495" s="277">
        <v>321</v>
      </c>
      <c r="B495" s="325" t="s">
        <v>1094</v>
      </c>
      <c r="C495" s="259"/>
      <c r="D495" s="325"/>
      <c r="E495" s="259">
        <v>3</v>
      </c>
      <c r="F495" s="325" t="s">
        <v>147</v>
      </c>
      <c r="G495" s="259">
        <v>24</v>
      </c>
      <c r="H495" s="325" t="s">
        <v>148</v>
      </c>
      <c r="I495" s="259">
        <v>2409</v>
      </c>
      <c r="J495" s="325" t="s">
        <v>1095</v>
      </c>
      <c r="K495" s="259" t="s">
        <v>1110</v>
      </c>
      <c r="L495" s="325" t="s">
        <v>1111</v>
      </c>
      <c r="M495" s="264" t="s">
        <v>1112</v>
      </c>
      <c r="N495" s="333" t="s">
        <v>1113</v>
      </c>
      <c r="O495" s="282" t="s">
        <v>67</v>
      </c>
      <c r="P495" s="272">
        <v>1</v>
      </c>
      <c r="Q495" s="272">
        <v>0</v>
      </c>
      <c r="R495" s="281">
        <v>2024003630018</v>
      </c>
      <c r="S495" s="327" t="s">
        <v>1102</v>
      </c>
      <c r="T495" s="328"/>
      <c r="U495" s="328"/>
      <c r="V495" s="328"/>
      <c r="W495" s="328"/>
      <c r="X495" s="328"/>
      <c r="Y495" s="328"/>
      <c r="Z495" s="328"/>
      <c r="AA495" s="328"/>
      <c r="AB495" s="328"/>
      <c r="AC495" s="328"/>
      <c r="AD495" s="328"/>
      <c r="AE495" s="328"/>
      <c r="AF495" s="328"/>
      <c r="AG495" s="328"/>
      <c r="AH495" s="328"/>
      <c r="AI495" s="328"/>
      <c r="AJ495" s="328"/>
      <c r="AK495" s="328"/>
      <c r="AL495" s="329"/>
      <c r="AM495" s="329"/>
      <c r="AN495" s="329"/>
      <c r="AO495" s="328">
        <v>7000000</v>
      </c>
      <c r="AP495" s="328">
        <v>7000000</v>
      </c>
      <c r="AQ495" s="328">
        <v>4540000</v>
      </c>
      <c r="AR495" s="328"/>
      <c r="AS495" s="328"/>
      <c r="AT495" s="328"/>
      <c r="AU495" s="328">
        <f t="shared" si="30"/>
        <v>7000000</v>
      </c>
      <c r="AV495" s="328">
        <f t="shared" si="31"/>
        <v>7000000</v>
      </c>
      <c r="AW495" s="328">
        <f t="shared" si="32"/>
        <v>4540000</v>
      </c>
      <c r="AX495" s="330" t="s">
        <v>1097</v>
      </c>
      <c r="AY495" s="331"/>
      <c r="AZ495" s="331"/>
      <c r="BA495" s="331"/>
      <c r="BB495" s="331"/>
      <c r="BC495" s="331"/>
      <c r="BD495" s="331"/>
      <c r="BE495" s="331"/>
      <c r="BF495" s="331"/>
      <c r="BG495" s="331"/>
      <c r="BH495" s="331"/>
      <c r="BI495" s="331"/>
      <c r="BJ495" s="331"/>
      <c r="BK495" s="331"/>
      <c r="BL495" s="331"/>
      <c r="BM495" s="331"/>
      <c r="BN495" s="331"/>
      <c r="BO495" s="331"/>
      <c r="BP495" s="331"/>
      <c r="BQ495" s="331"/>
      <c r="BR495" s="331"/>
      <c r="BS495" s="331"/>
      <c r="BT495" s="331"/>
      <c r="BU495" s="331"/>
      <c r="BV495" s="331"/>
      <c r="BW495" s="331"/>
      <c r="BX495" s="331"/>
      <c r="BY495" s="331"/>
      <c r="BZ495" s="331"/>
      <c r="CA495" s="331"/>
      <c r="CB495" s="331"/>
      <c r="CC495" s="331"/>
      <c r="CD495" s="331"/>
      <c r="CE495" s="331"/>
      <c r="CF495" s="331"/>
      <c r="CG495" s="331"/>
      <c r="CH495" s="331"/>
      <c r="CI495" s="331"/>
      <c r="CJ495" s="331"/>
      <c r="CK495" s="331"/>
      <c r="CL495" s="331"/>
      <c r="CM495" s="331"/>
      <c r="CN495" s="331"/>
      <c r="CO495" s="331"/>
      <c r="CP495" s="331"/>
      <c r="CQ495" s="331"/>
      <c r="CR495" s="331"/>
      <c r="CS495" s="331"/>
      <c r="CT495" s="331"/>
      <c r="CU495" s="331"/>
      <c r="CV495" s="331"/>
      <c r="CW495" s="331"/>
      <c r="CX495" s="331"/>
      <c r="CY495" s="331"/>
      <c r="CZ495" s="331"/>
      <c r="DA495" s="331"/>
      <c r="DB495" s="331"/>
      <c r="DC495" s="331"/>
      <c r="DD495" s="331"/>
      <c r="DE495" s="331"/>
      <c r="DF495" s="331"/>
      <c r="DG495" s="331"/>
      <c r="DH495" s="331"/>
      <c r="DI495" s="331"/>
      <c r="DJ495" s="331"/>
      <c r="DK495" s="331"/>
      <c r="DL495" s="331"/>
      <c r="DM495" s="331"/>
      <c r="DN495" s="331"/>
      <c r="DO495" s="331"/>
      <c r="DP495" s="331"/>
      <c r="DQ495" s="331"/>
      <c r="DR495" s="331"/>
      <c r="DS495" s="331"/>
      <c r="DT495" s="331"/>
      <c r="DU495" s="331"/>
      <c r="DV495" s="331"/>
      <c r="DW495" s="331"/>
      <c r="DX495" s="331"/>
      <c r="DY495" s="331"/>
    </row>
    <row r="496" spans="1:129" s="332" customFormat="1" ht="63.75" x14ac:dyDescent="0.2">
      <c r="A496" s="277">
        <v>321</v>
      </c>
      <c r="B496" s="325" t="s">
        <v>1094</v>
      </c>
      <c r="C496" s="259"/>
      <c r="D496" s="325"/>
      <c r="E496" s="259">
        <v>3</v>
      </c>
      <c r="F496" s="325" t="s">
        <v>147</v>
      </c>
      <c r="G496" s="259">
        <v>24</v>
      </c>
      <c r="H496" s="325" t="s">
        <v>148</v>
      </c>
      <c r="I496" s="259">
        <v>2409</v>
      </c>
      <c r="J496" s="325" t="s">
        <v>1095</v>
      </c>
      <c r="K496" s="259" t="s">
        <v>1110</v>
      </c>
      <c r="L496" s="325" t="s">
        <v>1111</v>
      </c>
      <c r="M496" s="264" t="s">
        <v>1114</v>
      </c>
      <c r="N496" s="333" t="s">
        <v>1115</v>
      </c>
      <c r="O496" s="282" t="s">
        <v>26</v>
      </c>
      <c r="P496" s="272">
        <v>1</v>
      </c>
      <c r="Q496" s="272">
        <v>0.6</v>
      </c>
      <c r="R496" s="281">
        <v>2024003630018</v>
      </c>
      <c r="S496" s="327" t="s">
        <v>1102</v>
      </c>
      <c r="T496" s="328"/>
      <c r="U496" s="328"/>
      <c r="V496" s="328"/>
      <c r="W496" s="328"/>
      <c r="X496" s="328"/>
      <c r="Y496" s="328"/>
      <c r="Z496" s="328"/>
      <c r="AA496" s="328"/>
      <c r="AB496" s="328"/>
      <c r="AC496" s="328"/>
      <c r="AD496" s="328"/>
      <c r="AE496" s="328"/>
      <c r="AF496" s="328"/>
      <c r="AG496" s="328"/>
      <c r="AH496" s="328"/>
      <c r="AI496" s="328"/>
      <c r="AJ496" s="328"/>
      <c r="AK496" s="328"/>
      <c r="AL496" s="329"/>
      <c r="AM496" s="329"/>
      <c r="AN496" s="329"/>
      <c r="AO496" s="328">
        <v>7000000</v>
      </c>
      <c r="AP496" s="328">
        <v>7000000</v>
      </c>
      <c r="AQ496" s="328">
        <v>4376000</v>
      </c>
      <c r="AR496" s="328"/>
      <c r="AS496" s="328"/>
      <c r="AT496" s="328"/>
      <c r="AU496" s="328">
        <f t="shared" si="30"/>
        <v>7000000</v>
      </c>
      <c r="AV496" s="328">
        <f t="shared" si="31"/>
        <v>7000000</v>
      </c>
      <c r="AW496" s="328">
        <f t="shared" si="32"/>
        <v>4376000</v>
      </c>
      <c r="AX496" s="330" t="s">
        <v>1097</v>
      </c>
      <c r="AY496" s="331"/>
      <c r="AZ496" s="331"/>
      <c r="BA496" s="331"/>
      <c r="BB496" s="331"/>
      <c r="BC496" s="331"/>
      <c r="BD496" s="331"/>
      <c r="BE496" s="331"/>
      <c r="BF496" s="331"/>
      <c r="BG496" s="331"/>
      <c r="BH496" s="331"/>
      <c r="BI496" s="331"/>
      <c r="BJ496" s="331"/>
      <c r="BK496" s="331"/>
      <c r="BL496" s="331"/>
      <c r="BM496" s="331"/>
      <c r="BN496" s="331"/>
      <c r="BO496" s="331"/>
      <c r="BP496" s="331"/>
      <c r="BQ496" s="331"/>
      <c r="BR496" s="331"/>
      <c r="BS496" s="331"/>
      <c r="BT496" s="331"/>
      <c r="BU496" s="331"/>
      <c r="BV496" s="331"/>
      <c r="BW496" s="331"/>
      <c r="BX496" s="331"/>
      <c r="BY496" s="331"/>
      <c r="BZ496" s="331"/>
      <c r="CA496" s="331"/>
      <c r="CB496" s="331"/>
      <c r="CC496" s="331"/>
      <c r="CD496" s="331"/>
      <c r="CE496" s="331"/>
      <c r="CF496" s="331"/>
      <c r="CG496" s="331"/>
      <c r="CH496" s="331"/>
      <c r="CI496" s="331"/>
      <c r="CJ496" s="331"/>
      <c r="CK496" s="331"/>
      <c r="CL496" s="331"/>
      <c r="CM496" s="331"/>
      <c r="CN496" s="331"/>
      <c r="CO496" s="331"/>
      <c r="CP496" s="331"/>
      <c r="CQ496" s="331"/>
      <c r="CR496" s="331"/>
      <c r="CS496" s="331"/>
      <c r="CT496" s="331"/>
      <c r="CU496" s="331"/>
      <c r="CV496" s="331"/>
      <c r="CW496" s="331"/>
      <c r="CX496" s="331"/>
      <c r="CY496" s="331"/>
      <c r="CZ496" s="331"/>
      <c r="DA496" s="331"/>
      <c r="DB496" s="331"/>
      <c r="DC496" s="331"/>
      <c r="DD496" s="331"/>
      <c r="DE496" s="331"/>
      <c r="DF496" s="331"/>
      <c r="DG496" s="331"/>
      <c r="DH496" s="331"/>
      <c r="DI496" s="331"/>
      <c r="DJ496" s="331"/>
      <c r="DK496" s="331"/>
      <c r="DL496" s="331"/>
      <c r="DM496" s="331"/>
      <c r="DN496" s="331"/>
      <c r="DO496" s="331"/>
      <c r="DP496" s="331"/>
      <c r="DQ496" s="331"/>
      <c r="DR496" s="331"/>
      <c r="DS496" s="331"/>
      <c r="DT496" s="331"/>
      <c r="DU496" s="331"/>
      <c r="DV496" s="331"/>
      <c r="DW496" s="331"/>
      <c r="DX496" s="331"/>
      <c r="DY496" s="331"/>
    </row>
    <row r="497" spans="1:129" s="332" customFormat="1" ht="63.75" x14ac:dyDescent="0.2">
      <c r="A497" s="277">
        <v>321</v>
      </c>
      <c r="B497" s="325" t="s">
        <v>1094</v>
      </c>
      <c r="C497" s="259"/>
      <c r="D497" s="325"/>
      <c r="E497" s="259">
        <v>3</v>
      </c>
      <c r="F497" s="325" t="s">
        <v>147</v>
      </c>
      <c r="G497" s="259">
        <v>24</v>
      </c>
      <c r="H497" s="325" t="s">
        <v>148</v>
      </c>
      <c r="I497" s="259">
        <v>2409</v>
      </c>
      <c r="J497" s="325" t="s">
        <v>1095</v>
      </c>
      <c r="K497" s="259" t="s">
        <v>1116</v>
      </c>
      <c r="L497" s="325" t="s">
        <v>173</v>
      </c>
      <c r="M497" s="264">
        <v>240901400</v>
      </c>
      <c r="N497" s="333" t="s">
        <v>324</v>
      </c>
      <c r="O497" s="282" t="s">
        <v>26</v>
      </c>
      <c r="P497" s="272">
        <v>1</v>
      </c>
      <c r="Q497" s="272">
        <v>0.3</v>
      </c>
      <c r="R497" s="281">
        <v>2024003630018</v>
      </c>
      <c r="S497" s="327" t="s">
        <v>1102</v>
      </c>
      <c r="T497" s="328"/>
      <c r="U497" s="328"/>
      <c r="V497" s="328"/>
      <c r="W497" s="328"/>
      <c r="X497" s="328"/>
      <c r="Y497" s="328"/>
      <c r="Z497" s="328"/>
      <c r="AA497" s="328"/>
      <c r="AB497" s="328"/>
      <c r="AC497" s="328"/>
      <c r="AD497" s="328"/>
      <c r="AE497" s="328"/>
      <c r="AF497" s="328"/>
      <c r="AG497" s="328"/>
      <c r="AH497" s="328"/>
      <c r="AI497" s="328"/>
      <c r="AJ497" s="328"/>
      <c r="AK497" s="328"/>
      <c r="AL497" s="329"/>
      <c r="AM497" s="329"/>
      <c r="AN497" s="329"/>
      <c r="AO497" s="328">
        <f>7000000+4250000+5000000+5000000</f>
        <v>21250000</v>
      </c>
      <c r="AP497" s="328">
        <v>14250000</v>
      </c>
      <c r="AQ497" s="328">
        <v>7916000</v>
      </c>
      <c r="AR497" s="328"/>
      <c r="AS497" s="328"/>
      <c r="AT497" s="328"/>
      <c r="AU497" s="328">
        <f t="shared" si="30"/>
        <v>21250000</v>
      </c>
      <c r="AV497" s="328">
        <f t="shared" si="31"/>
        <v>14250000</v>
      </c>
      <c r="AW497" s="328">
        <f t="shared" si="32"/>
        <v>7916000</v>
      </c>
      <c r="AX497" s="330" t="s">
        <v>1097</v>
      </c>
      <c r="AY497" s="331"/>
      <c r="AZ497" s="331"/>
      <c r="BA497" s="331"/>
      <c r="BB497" s="331"/>
      <c r="BC497" s="331"/>
      <c r="BD497" s="331"/>
      <c r="BE497" s="331"/>
      <c r="BF497" s="331"/>
      <c r="BG497" s="331"/>
      <c r="BH497" s="331"/>
      <c r="BI497" s="331"/>
      <c r="BJ497" s="331"/>
      <c r="BK497" s="331"/>
      <c r="BL497" s="331"/>
      <c r="BM497" s="331"/>
      <c r="BN497" s="331"/>
      <c r="BO497" s="331"/>
      <c r="BP497" s="331"/>
      <c r="BQ497" s="331"/>
      <c r="BR497" s="331"/>
      <c r="BS497" s="331"/>
      <c r="BT497" s="331"/>
      <c r="BU497" s="331"/>
      <c r="BV497" s="331"/>
      <c r="BW497" s="331"/>
      <c r="BX497" s="331"/>
      <c r="BY497" s="331"/>
      <c r="BZ497" s="331"/>
      <c r="CA497" s="331"/>
      <c r="CB497" s="331"/>
      <c r="CC497" s="331"/>
      <c r="CD497" s="331"/>
      <c r="CE497" s="331"/>
      <c r="CF497" s="331"/>
      <c r="CG497" s="331"/>
      <c r="CH497" s="331"/>
      <c r="CI497" s="331"/>
      <c r="CJ497" s="331"/>
      <c r="CK497" s="331"/>
      <c r="CL497" s="331"/>
      <c r="CM497" s="331"/>
      <c r="CN497" s="331"/>
      <c r="CO497" s="331"/>
      <c r="CP497" s="331"/>
      <c r="CQ497" s="331"/>
      <c r="CR497" s="331"/>
      <c r="CS497" s="331"/>
      <c r="CT497" s="331"/>
      <c r="CU497" s="331"/>
      <c r="CV497" s="331"/>
      <c r="CW497" s="331"/>
      <c r="CX497" s="331"/>
      <c r="CY497" s="331"/>
      <c r="CZ497" s="331"/>
      <c r="DA497" s="331"/>
      <c r="DB497" s="331"/>
      <c r="DC497" s="331"/>
      <c r="DD497" s="331"/>
      <c r="DE497" s="331"/>
      <c r="DF497" s="331"/>
      <c r="DG497" s="331"/>
      <c r="DH497" s="331"/>
      <c r="DI497" s="331"/>
      <c r="DJ497" s="331"/>
      <c r="DK497" s="331"/>
      <c r="DL497" s="331"/>
      <c r="DM497" s="331"/>
      <c r="DN497" s="331"/>
      <c r="DO497" s="331"/>
      <c r="DP497" s="331"/>
      <c r="DQ497" s="331"/>
      <c r="DR497" s="331"/>
      <c r="DS497" s="331"/>
      <c r="DT497" s="331"/>
      <c r="DU497" s="331"/>
      <c r="DV497" s="331"/>
      <c r="DW497" s="331"/>
      <c r="DX497" s="331"/>
      <c r="DY497" s="331"/>
    </row>
    <row r="498" spans="1:129" s="331" customFormat="1" ht="57.75" customHeight="1" x14ac:dyDescent="0.25">
      <c r="A498" s="555" t="s">
        <v>1117</v>
      </c>
      <c r="B498" s="556"/>
      <c r="C498" s="556"/>
      <c r="D498" s="556"/>
      <c r="E498" s="350"/>
      <c r="F498" s="289"/>
      <c r="G498" s="289"/>
      <c r="H498" s="289"/>
      <c r="I498" s="556"/>
      <c r="J498" s="556"/>
      <c r="K498" s="350"/>
      <c r="L498" s="289"/>
      <c r="M498" s="289"/>
      <c r="N498" s="556"/>
      <c r="O498" s="170"/>
      <c r="P498" s="289"/>
      <c r="Q498" s="289"/>
      <c r="R498" s="557"/>
      <c r="S498" s="556"/>
      <c r="T498" s="558">
        <f t="shared" ref="T498:AW498" si="33">SUBTOTAL(9,T8:T497)</f>
        <v>38021079756.169998</v>
      </c>
      <c r="U498" s="558">
        <f t="shared" si="33"/>
        <v>25062116091.739998</v>
      </c>
      <c r="V498" s="558">
        <f t="shared" si="33"/>
        <v>18843160944.080002</v>
      </c>
      <c r="W498" s="558">
        <f t="shared" si="33"/>
        <v>8015036661.9400005</v>
      </c>
      <c r="X498" s="558">
        <f t="shared" si="33"/>
        <v>7535819803.4200001</v>
      </c>
      <c r="Y498" s="558">
        <f t="shared" si="33"/>
        <v>6014871773.3799992</v>
      </c>
      <c r="Z498" s="558">
        <f t="shared" si="33"/>
        <v>9501451757.3700008</v>
      </c>
      <c r="AA498" s="558">
        <f t="shared" si="33"/>
        <v>7618511341.6400003</v>
      </c>
      <c r="AB498" s="558">
        <f t="shared" si="33"/>
        <v>4689721504.5299997</v>
      </c>
      <c r="AC498" s="558">
        <f t="shared" si="33"/>
        <v>52917039872.650009</v>
      </c>
      <c r="AD498" s="558">
        <f t="shared" si="33"/>
        <v>45014126513.040009</v>
      </c>
      <c r="AE498" s="558">
        <f t="shared" si="33"/>
        <v>36215287783.849998</v>
      </c>
      <c r="AF498" s="558">
        <f t="shared" si="33"/>
        <v>240863046894.49997</v>
      </c>
      <c r="AG498" s="558">
        <f t="shared" si="33"/>
        <v>171309073490.17001</v>
      </c>
      <c r="AH498" s="558">
        <f t="shared" si="33"/>
        <v>169996299649.38</v>
      </c>
      <c r="AI498" s="558">
        <f t="shared" si="33"/>
        <v>4332250855.21</v>
      </c>
      <c r="AJ498" s="558">
        <f t="shared" si="33"/>
        <v>4279777194</v>
      </c>
      <c r="AK498" s="558">
        <f t="shared" si="33"/>
        <v>3943840322</v>
      </c>
      <c r="AL498" s="558">
        <f t="shared" si="33"/>
        <v>58179096556.810005</v>
      </c>
      <c r="AM498" s="558">
        <f t="shared" si="33"/>
        <v>46420351303.100006</v>
      </c>
      <c r="AN498" s="558">
        <f t="shared" si="33"/>
        <v>37720267324.75</v>
      </c>
      <c r="AO498" s="558">
        <f t="shared" si="33"/>
        <v>22664678396.880001</v>
      </c>
      <c r="AP498" s="558">
        <f t="shared" si="33"/>
        <v>10231181379</v>
      </c>
      <c r="AQ498" s="558">
        <f t="shared" si="33"/>
        <v>6366515244.04</v>
      </c>
      <c r="AR498" s="558">
        <f t="shared" si="33"/>
        <v>60283115668.490005</v>
      </c>
      <c r="AS498" s="558">
        <f t="shared" si="33"/>
        <v>26140899901.389999</v>
      </c>
      <c r="AT498" s="558">
        <f t="shared" si="33"/>
        <v>20161783258.080002</v>
      </c>
      <c r="AU498" s="559">
        <f t="shared" si="33"/>
        <v>494776796420.02002</v>
      </c>
      <c r="AV498" s="559">
        <f t="shared" si="33"/>
        <v>343611857017.50006</v>
      </c>
      <c r="AW498" s="559">
        <f t="shared" si="33"/>
        <v>303951747804.08997</v>
      </c>
      <c r="AX498" s="558"/>
    </row>
    <row r="499" spans="1:129" s="104" customFormat="1" ht="12.75" x14ac:dyDescent="0.25">
      <c r="A499" s="449"/>
      <c r="B499" s="560"/>
      <c r="C499" s="561"/>
      <c r="D499" s="560"/>
      <c r="E499" s="351"/>
      <c r="F499" s="562"/>
      <c r="G499" s="290"/>
      <c r="H499" s="562"/>
      <c r="I499" s="560"/>
      <c r="J499" s="560"/>
      <c r="K499" s="351"/>
      <c r="L499" s="562"/>
      <c r="M499" s="290"/>
      <c r="N499" s="290"/>
      <c r="O499" s="290"/>
      <c r="P499" s="290"/>
      <c r="Q499" s="290"/>
      <c r="R499" s="290"/>
      <c r="S499" s="290"/>
      <c r="AF499" s="563"/>
      <c r="AG499" s="563"/>
      <c r="AH499" s="563"/>
      <c r="AL499" s="564"/>
      <c r="AM499" s="564"/>
      <c r="AN499" s="564"/>
      <c r="AU499" s="565"/>
      <c r="AV499" s="565"/>
      <c r="AW499" s="565"/>
      <c r="AX499" s="459"/>
    </row>
    <row r="500" spans="1:129" s="104" customFormat="1" ht="12.75" x14ac:dyDescent="0.25">
      <c r="A500" s="449"/>
      <c r="B500" s="560"/>
      <c r="C500" s="561"/>
      <c r="D500" s="560"/>
      <c r="E500" s="351"/>
      <c r="F500" s="562"/>
      <c r="G500" s="290"/>
      <c r="H500" s="562"/>
      <c r="I500" s="560"/>
      <c r="J500" s="560"/>
      <c r="K500" s="351"/>
      <c r="L500" s="562"/>
      <c r="M500" s="290"/>
      <c r="N500" s="560"/>
      <c r="O500" s="331"/>
      <c r="P500" s="290"/>
      <c r="Q500" s="290"/>
      <c r="R500" s="566"/>
      <c r="S500" s="560"/>
      <c r="AF500" s="563"/>
      <c r="AG500" s="563"/>
      <c r="AH500" s="563"/>
      <c r="AL500" s="564"/>
      <c r="AM500" s="564"/>
      <c r="AN500" s="564"/>
      <c r="AU500" s="565"/>
      <c r="AV500" s="565"/>
      <c r="AW500" s="565"/>
      <c r="AX500" s="459"/>
    </row>
    <row r="501" spans="1:129" s="104" customFormat="1" ht="12.75" x14ac:dyDescent="0.25">
      <c r="A501" s="449"/>
      <c r="B501" s="560"/>
      <c r="C501" s="561"/>
      <c r="D501" s="560"/>
      <c r="E501" s="351"/>
      <c r="F501" s="562"/>
      <c r="G501" s="290"/>
      <c r="H501" s="562"/>
      <c r="I501" s="560"/>
      <c r="J501" s="560"/>
      <c r="K501" s="351"/>
      <c r="L501" s="562"/>
      <c r="M501" s="290"/>
      <c r="N501" s="560"/>
      <c r="O501" s="331"/>
      <c r="P501" s="290"/>
      <c r="Q501" s="290"/>
      <c r="R501" s="566"/>
      <c r="S501" s="560"/>
      <c r="AF501" s="563"/>
      <c r="AG501" s="563"/>
      <c r="AH501" s="563"/>
      <c r="AL501" s="564"/>
      <c r="AM501" s="564"/>
      <c r="AN501" s="564"/>
      <c r="AU501" s="565"/>
      <c r="AV501" s="565"/>
      <c r="AW501" s="565"/>
      <c r="AX501" s="459"/>
    </row>
    <row r="502" spans="1:129" s="104" customFormat="1" ht="12.75" x14ac:dyDescent="0.25">
      <c r="A502" s="449"/>
      <c r="B502" s="560"/>
      <c r="C502" s="561"/>
      <c r="D502" s="560"/>
      <c r="E502" s="351"/>
      <c r="F502" s="562"/>
      <c r="G502" s="290"/>
      <c r="H502" s="562"/>
      <c r="I502" s="560"/>
      <c r="J502" s="560"/>
      <c r="K502" s="351"/>
      <c r="L502" s="562"/>
      <c r="M502" s="290"/>
      <c r="N502" s="560"/>
      <c r="O502" s="331"/>
      <c r="P502" s="290"/>
      <c r="Q502" s="290"/>
      <c r="R502" s="566"/>
      <c r="S502" s="560"/>
      <c r="AF502" s="563"/>
      <c r="AG502" s="563"/>
      <c r="AH502" s="563"/>
      <c r="AL502" s="564"/>
      <c r="AM502" s="564"/>
      <c r="AN502" s="564"/>
      <c r="AU502" s="565"/>
      <c r="AV502" s="565"/>
      <c r="AW502" s="565"/>
      <c r="AX502" s="459"/>
    </row>
    <row r="503" spans="1:129" s="104" customFormat="1" ht="12.75" x14ac:dyDescent="0.25">
      <c r="A503" s="449"/>
      <c r="B503" s="560"/>
      <c r="C503" s="561"/>
      <c r="D503" s="560"/>
      <c r="E503" s="351"/>
      <c r="F503" s="562"/>
      <c r="G503" s="290"/>
      <c r="H503" s="562"/>
      <c r="I503" s="560"/>
      <c r="J503" s="560"/>
      <c r="K503" s="351"/>
      <c r="L503" s="562"/>
      <c r="M503" s="290"/>
      <c r="N503" s="560"/>
      <c r="O503" s="331"/>
      <c r="P503" s="290"/>
      <c r="Q503" s="315"/>
      <c r="R503" s="566"/>
      <c r="S503" s="560"/>
      <c r="AF503" s="563"/>
      <c r="AG503" s="563"/>
      <c r="AH503" s="563"/>
      <c r="AL503" s="564"/>
      <c r="AM503" s="564"/>
      <c r="AN503" s="564"/>
      <c r="AR503" s="367"/>
      <c r="AS503" s="367"/>
      <c r="AT503" s="367"/>
      <c r="AU503" s="567"/>
      <c r="AV503" s="567"/>
      <c r="AW503" s="567"/>
      <c r="AX503" s="459"/>
    </row>
    <row r="504" spans="1:129" s="104" customFormat="1" ht="12.75" x14ac:dyDescent="0.25">
      <c r="A504" s="449"/>
      <c r="B504" s="560"/>
      <c r="C504" s="561"/>
      <c r="D504" s="560"/>
      <c r="E504" s="351"/>
      <c r="F504" s="562"/>
      <c r="G504" s="290"/>
      <c r="H504" s="562"/>
      <c r="I504" s="560"/>
      <c r="J504" s="560"/>
      <c r="K504" s="351"/>
      <c r="L504" s="562"/>
      <c r="M504" s="290"/>
      <c r="N504" s="560"/>
      <c r="O504" s="331"/>
      <c r="P504" s="290"/>
      <c r="Q504" s="316"/>
      <c r="AF504" s="563"/>
      <c r="AG504" s="563"/>
      <c r="AH504" s="563"/>
      <c r="AL504" s="564"/>
      <c r="AM504" s="564"/>
      <c r="AN504" s="564"/>
      <c r="AU504" s="565"/>
      <c r="AV504" s="565"/>
      <c r="AW504" s="565"/>
      <c r="AX504" s="459"/>
    </row>
    <row r="505" spans="1:129" s="104" customFormat="1" ht="12.75" x14ac:dyDescent="0.25">
      <c r="A505" s="449"/>
      <c r="B505" s="560"/>
      <c r="C505" s="561"/>
      <c r="D505" s="560"/>
      <c r="E505" s="351"/>
      <c r="F505" s="562"/>
      <c r="G505" s="290"/>
      <c r="H505" s="562"/>
      <c r="I505" s="560"/>
      <c r="J505" s="560"/>
      <c r="K505" s="351"/>
      <c r="L505" s="562"/>
      <c r="M505" s="290"/>
      <c r="N505" s="560"/>
      <c r="O505" s="331"/>
      <c r="P505" s="290"/>
      <c r="Q505" s="290"/>
      <c r="AF505" s="563"/>
      <c r="AG505" s="563"/>
      <c r="AH505" s="563"/>
      <c r="AL505" s="564"/>
      <c r="AM505" s="564"/>
      <c r="AN505" s="564"/>
      <c r="AU505" s="565"/>
      <c r="AV505" s="565"/>
      <c r="AW505" s="565"/>
      <c r="AX505" s="459"/>
    </row>
    <row r="506" spans="1:129" s="104" customFormat="1" ht="12.75" x14ac:dyDescent="0.25">
      <c r="A506" s="449"/>
      <c r="B506" s="560"/>
      <c r="C506" s="561"/>
      <c r="D506" s="560"/>
      <c r="E506" s="351"/>
      <c r="F506" s="562"/>
      <c r="G506" s="290"/>
      <c r="H506" s="562"/>
      <c r="I506" s="560"/>
      <c r="J506" s="560"/>
      <c r="K506" s="351"/>
      <c r="L506" s="562"/>
      <c r="M506" s="290"/>
      <c r="N506" s="560"/>
      <c r="O506" s="331"/>
      <c r="P506" s="290"/>
      <c r="Q506" s="290"/>
      <c r="AF506" s="563"/>
      <c r="AG506" s="563"/>
      <c r="AH506" s="563"/>
      <c r="AL506" s="564"/>
      <c r="AM506" s="564"/>
      <c r="AN506" s="564"/>
      <c r="AU506" s="565"/>
      <c r="AV506" s="565"/>
      <c r="AW506" s="565"/>
      <c r="AX506" s="459"/>
    </row>
    <row r="507" spans="1:129" s="104" customFormat="1" ht="12.75" x14ac:dyDescent="0.25">
      <c r="A507" s="449"/>
      <c r="B507" s="560"/>
      <c r="C507" s="561"/>
      <c r="D507" s="560"/>
      <c r="E507" s="351"/>
      <c r="F507" s="562"/>
      <c r="G507" s="290"/>
      <c r="H507" s="562"/>
      <c r="I507" s="560"/>
      <c r="J507" s="560"/>
      <c r="K507" s="351"/>
      <c r="L507" s="562"/>
      <c r="M507" s="290"/>
      <c r="N507" s="560"/>
      <c r="O507" s="331"/>
      <c r="P507" s="290"/>
      <c r="Q507" s="290"/>
      <c r="AF507" s="563"/>
      <c r="AG507" s="563"/>
      <c r="AH507" s="563"/>
      <c r="AL507" s="564"/>
      <c r="AM507" s="564"/>
      <c r="AN507" s="564"/>
      <c r="AU507" s="565"/>
      <c r="AV507" s="565"/>
      <c r="AW507" s="565"/>
      <c r="AX507" s="459"/>
    </row>
    <row r="508" spans="1:129" s="104" customFormat="1" ht="12.75" x14ac:dyDescent="0.25">
      <c r="A508" s="449"/>
      <c r="B508" s="560"/>
      <c r="C508" s="561"/>
      <c r="D508" s="560"/>
      <c r="E508" s="351"/>
      <c r="F508" s="562"/>
      <c r="G508" s="290"/>
      <c r="H508" s="562"/>
      <c r="I508" s="560"/>
      <c r="J508" s="560"/>
      <c r="K508" s="351"/>
      <c r="L508" s="562"/>
      <c r="M508" s="290"/>
      <c r="N508" s="560"/>
      <c r="O508" s="331"/>
      <c r="P508" s="290"/>
      <c r="Q508" s="290"/>
      <c r="AF508" s="563"/>
      <c r="AG508" s="563"/>
      <c r="AH508" s="563"/>
      <c r="AL508" s="564"/>
      <c r="AM508" s="564"/>
      <c r="AN508" s="564"/>
    </row>
    <row r="509" spans="1:129" s="104" customFormat="1" ht="12.75" x14ac:dyDescent="0.25">
      <c r="A509" s="449"/>
      <c r="B509" s="560"/>
      <c r="C509" s="561"/>
      <c r="D509" s="560"/>
      <c r="E509" s="351"/>
      <c r="F509" s="562"/>
      <c r="G509" s="290"/>
      <c r="H509" s="562"/>
      <c r="I509" s="560"/>
      <c r="J509" s="560"/>
      <c r="K509" s="351"/>
      <c r="L509" s="562"/>
      <c r="M509" s="290"/>
      <c r="N509" s="560"/>
      <c r="O509" s="331"/>
      <c r="P509" s="290"/>
      <c r="Q509" s="290"/>
      <c r="AF509" s="563"/>
      <c r="AG509" s="563"/>
      <c r="AH509" s="563"/>
      <c r="AL509" s="564"/>
      <c r="AM509" s="564"/>
      <c r="AN509" s="564"/>
      <c r="AU509" s="565"/>
      <c r="AV509" s="565"/>
      <c r="AW509" s="565"/>
      <c r="AX509" s="459"/>
    </row>
    <row r="510" spans="1:129" s="104" customFormat="1" ht="12.75" x14ac:dyDescent="0.25">
      <c r="A510" s="449"/>
      <c r="B510" s="560"/>
      <c r="C510" s="561"/>
      <c r="D510" s="560"/>
      <c r="E510" s="351"/>
      <c r="F510" s="562"/>
      <c r="G510" s="290"/>
      <c r="H510" s="562"/>
      <c r="I510" s="560"/>
      <c r="J510" s="560"/>
      <c r="K510" s="351"/>
      <c r="L510" s="562"/>
      <c r="M510" s="290"/>
      <c r="N510" s="560"/>
      <c r="O510" s="331"/>
      <c r="P510" s="290"/>
      <c r="Q510" s="290"/>
      <c r="R510" s="566"/>
      <c r="S510" s="560"/>
      <c r="AF510" s="563"/>
      <c r="AG510" s="563"/>
      <c r="AH510" s="563"/>
      <c r="AL510" s="564"/>
      <c r="AM510" s="564"/>
      <c r="AN510" s="564"/>
      <c r="AU510" s="565"/>
      <c r="AV510" s="565"/>
      <c r="AW510" s="565"/>
      <c r="AX510" s="459"/>
    </row>
    <row r="511" spans="1:129" s="104" customFormat="1" ht="12.75" x14ac:dyDescent="0.25">
      <c r="A511" s="449"/>
      <c r="B511" s="560"/>
      <c r="C511" s="561"/>
      <c r="D511" s="560"/>
      <c r="E511" s="351"/>
      <c r="F511" s="562"/>
      <c r="G511" s="290"/>
      <c r="H511" s="562"/>
      <c r="I511" s="560"/>
      <c r="J511" s="560"/>
      <c r="K511" s="351"/>
      <c r="L511" s="562"/>
      <c r="M511" s="290"/>
      <c r="N511" s="560"/>
      <c r="O511" s="331"/>
      <c r="P511" s="290"/>
      <c r="Q511" s="290"/>
      <c r="R511" s="566"/>
      <c r="S511" s="560"/>
      <c r="AF511" s="563"/>
      <c r="AG511" s="563"/>
      <c r="AH511" s="563"/>
      <c r="AL511" s="564"/>
      <c r="AM511" s="564"/>
      <c r="AN511" s="564"/>
      <c r="AU511" s="565"/>
      <c r="AV511" s="565"/>
      <c r="AW511" s="565"/>
      <c r="AX511" s="459"/>
    </row>
    <row r="512" spans="1:129" s="104" customFormat="1" ht="12.75" x14ac:dyDescent="0.25">
      <c r="A512" s="449"/>
      <c r="B512" s="560"/>
      <c r="C512" s="561"/>
      <c r="D512" s="560"/>
      <c r="E512" s="351"/>
      <c r="F512" s="562"/>
      <c r="G512" s="290"/>
      <c r="H512" s="562"/>
      <c r="I512" s="560"/>
      <c r="J512" s="560"/>
      <c r="K512" s="351"/>
      <c r="L512" s="562"/>
      <c r="M512" s="290"/>
      <c r="N512" s="560"/>
      <c r="O512" s="331"/>
      <c r="P512" s="290"/>
      <c r="Q512" s="290"/>
      <c r="R512" s="566"/>
      <c r="S512" s="560"/>
      <c r="AF512" s="563"/>
      <c r="AG512" s="563"/>
      <c r="AH512" s="563"/>
      <c r="AL512" s="564"/>
      <c r="AM512" s="564"/>
      <c r="AN512" s="564"/>
      <c r="AU512" s="565"/>
      <c r="AV512" s="565"/>
      <c r="AW512" s="565"/>
      <c r="AX512" s="459"/>
    </row>
    <row r="513" spans="1:50" s="104" customFormat="1" ht="12.75" x14ac:dyDescent="0.25">
      <c r="A513" s="449"/>
      <c r="B513" s="560"/>
      <c r="C513" s="561"/>
      <c r="D513" s="560"/>
      <c r="E513" s="351"/>
      <c r="F513" s="562"/>
      <c r="G513" s="290"/>
      <c r="H513" s="562"/>
      <c r="I513" s="560"/>
      <c r="J513" s="560"/>
      <c r="K513" s="351"/>
      <c r="L513" s="562"/>
      <c r="M513" s="290"/>
      <c r="N513" s="560"/>
      <c r="O513" s="331"/>
      <c r="P513" s="290"/>
      <c r="Q513" s="290"/>
      <c r="R513" s="566"/>
      <c r="S513" s="560"/>
      <c r="AF513" s="563"/>
      <c r="AG513" s="563"/>
      <c r="AH513" s="563"/>
      <c r="AL513" s="564"/>
      <c r="AM513" s="564"/>
      <c r="AN513" s="564"/>
      <c r="AU513" s="565"/>
      <c r="AV513" s="565"/>
      <c r="AW513" s="565"/>
      <c r="AX513" s="459"/>
    </row>
    <row r="514" spans="1:50" s="104" customFormat="1" ht="12.75" x14ac:dyDescent="0.25">
      <c r="A514" s="449"/>
      <c r="B514" s="560"/>
      <c r="C514" s="561"/>
      <c r="D514" s="560"/>
      <c r="E514" s="351"/>
      <c r="F514" s="562"/>
      <c r="G514" s="290"/>
      <c r="H514" s="562"/>
      <c r="I514" s="560"/>
      <c r="J514" s="560"/>
      <c r="K514" s="351"/>
      <c r="L514" s="562"/>
      <c r="M514" s="290"/>
      <c r="N514" s="560"/>
      <c r="O514" s="331"/>
      <c r="P514" s="290"/>
      <c r="Q514" s="290"/>
      <c r="R514" s="566"/>
      <c r="S514" s="560"/>
      <c r="AF514" s="563"/>
      <c r="AG514" s="563"/>
      <c r="AH514" s="563"/>
      <c r="AL514" s="564"/>
      <c r="AM514" s="564"/>
      <c r="AN514" s="564"/>
      <c r="AU514" s="565"/>
      <c r="AV514" s="565"/>
      <c r="AW514" s="565"/>
      <c r="AX514" s="459"/>
    </row>
    <row r="515" spans="1:50" s="104" customFormat="1" ht="12.75" x14ac:dyDescent="0.25">
      <c r="A515" s="449"/>
      <c r="B515" s="560"/>
      <c r="C515" s="561"/>
      <c r="D515" s="560"/>
      <c r="E515" s="351"/>
      <c r="F515" s="562"/>
      <c r="G515" s="290"/>
      <c r="H515" s="562"/>
      <c r="I515" s="560"/>
      <c r="J515" s="560"/>
      <c r="K515" s="351"/>
      <c r="L515" s="562"/>
      <c r="M515" s="290"/>
      <c r="N515" s="560"/>
      <c r="O515" s="331"/>
      <c r="P515" s="290"/>
      <c r="Q515" s="290"/>
      <c r="R515" s="566"/>
      <c r="S515" s="560"/>
      <c r="AF515" s="563"/>
      <c r="AG515" s="563"/>
      <c r="AH515" s="563"/>
      <c r="AL515" s="564"/>
      <c r="AM515" s="564"/>
      <c r="AN515" s="564"/>
      <c r="AU515" s="565"/>
      <c r="AV515" s="565"/>
      <c r="AW515" s="565"/>
      <c r="AX515" s="459"/>
    </row>
    <row r="516" spans="1:50" s="104" customFormat="1" ht="12.75" x14ac:dyDescent="0.25">
      <c r="A516" s="449"/>
      <c r="B516" s="560"/>
      <c r="C516" s="561"/>
      <c r="D516" s="560"/>
      <c r="E516" s="351"/>
      <c r="F516" s="562"/>
      <c r="G516" s="290"/>
      <c r="H516" s="562"/>
      <c r="I516" s="560"/>
      <c r="J516" s="560"/>
      <c r="K516" s="351"/>
      <c r="L516" s="562"/>
      <c r="M516" s="290"/>
      <c r="N516" s="560"/>
      <c r="O516" s="331"/>
      <c r="P516" s="290"/>
      <c r="Q516" s="290"/>
      <c r="R516" s="566"/>
      <c r="S516" s="560"/>
      <c r="AF516" s="563"/>
      <c r="AG516" s="563"/>
      <c r="AH516" s="563"/>
      <c r="AL516" s="564"/>
      <c r="AM516" s="564"/>
      <c r="AN516" s="564"/>
      <c r="AU516" s="565"/>
      <c r="AV516" s="565"/>
      <c r="AW516" s="565"/>
      <c r="AX516" s="459"/>
    </row>
    <row r="517" spans="1:50" ht="12.75" x14ac:dyDescent="0.2">
      <c r="C517" s="561"/>
      <c r="E517" s="106"/>
    </row>
    <row r="518" spans="1:50" ht="12.75" x14ac:dyDescent="0.2">
      <c r="C518" s="561"/>
      <c r="E518" s="106"/>
    </row>
    <row r="519" spans="1:50" ht="12.75" x14ac:dyDescent="0.2">
      <c r="C519" s="561"/>
      <c r="E519" s="106"/>
    </row>
    <row r="520" spans="1:50" ht="12.75" x14ac:dyDescent="0.2">
      <c r="C520" s="561"/>
      <c r="E520" s="106"/>
    </row>
    <row r="521" spans="1:50" ht="12.75" x14ac:dyDescent="0.2">
      <c r="C521" s="561"/>
      <c r="E521" s="106"/>
    </row>
    <row r="522" spans="1:50" ht="12.75" x14ac:dyDescent="0.2">
      <c r="C522" s="561"/>
      <c r="E522" s="106"/>
    </row>
    <row r="523" spans="1:50" ht="12.75" x14ac:dyDescent="0.2">
      <c r="C523" s="561"/>
      <c r="E523" s="106"/>
    </row>
    <row r="524" spans="1:50" ht="12.75" x14ac:dyDescent="0.2">
      <c r="C524" s="561"/>
      <c r="E524" s="106"/>
    </row>
    <row r="525" spans="1:50" ht="12.75" x14ac:dyDescent="0.2">
      <c r="C525" s="561"/>
      <c r="E525" s="106"/>
    </row>
    <row r="526" spans="1:50" ht="12.75" x14ac:dyDescent="0.2">
      <c r="C526" s="561"/>
      <c r="E526" s="106"/>
    </row>
    <row r="527" spans="1:50" ht="12.75" x14ac:dyDescent="0.2">
      <c r="E527" s="106"/>
    </row>
    <row r="528" spans="1:50" ht="12.75" x14ac:dyDescent="0.2">
      <c r="E528" s="106"/>
    </row>
    <row r="529" spans="5:5" ht="12.75" x14ac:dyDescent="0.2">
      <c r="E529" s="106"/>
    </row>
    <row r="530" spans="5:5" ht="12.75" x14ac:dyDescent="0.2">
      <c r="E530" s="106"/>
    </row>
    <row r="531" spans="5:5" ht="12.75" x14ac:dyDescent="0.2">
      <c r="E531" s="106"/>
    </row>
    <row r="532" spans="5:5" ht="12.75" x14ac:dyDescent="0.2">
      <c r="E532" s="106"/>
    </row>
    <row r="533" spans="5:5" ht="12.75" x14ac:dyDescent="0.2">
      <c r="E533" s="106"/>
    </row>
    <row r="534" spans="5:5" ht="12.75" x14ac:dyDescent="0.2">
      <c r="E534" s="106"/>
    </row>
    <row r="535" spans="5:5" ht="12.75" x14ac:dyDescent="0.2">
      <c r="E535" s="106"/>
    </row>
    <row r="536" spans="5:5" ht="12.75" x14ac:dyDescent="0.2">
      <c r="E536" s="106"/>
    </row>
    <row r="537" spans="5:5" ht="12.75" x14ac:dyDescent="0.2">
      <c r="E537" s="106"/>
    </row>
    <row r="538" spans="5:5" ht="12.75" x14ac:dyDescent="0.2">
      <c r="E538" s="106"/>
    </row>
    <row r="539" spans="5:5" ht="12.75" x14ac:dyDescent="0.2">
      <c r="E539" s="106"/>
    </row>
    <row r="540" spans="5:5" ht="12.75" x14ac:dyDescent="0.2">
      <c r="E540" s="106"/>
    </row>
    <row r="541" spans="5:5" ht="12.75" x14ac:dyDescent="0.2">
      <c r="E541" s="106"/>
    </row>
    <row r="542" spans="5:5" ht="12.75" x14ac:dyDescent="0.2">
      <c r="E542" s="106"/>
    </row>
    <row r="543" spans="5:5" ht="12.75" x14ac:dyDescent="0.2">
      <c r="E543" s="106"/>
    </row>
    <row r="544" spans="5:5" ht="12.75" x14ac:dyDescent="0.2">
      <c r="E544" s="106"/>
    </row>
    <row r="545" spans="5:5" ht="12.75" x14ac:dyDescent="0.2">
      <c r="E545" s="106"/>
    </row>
    <row r="546" spans="5:5" ht="12.75" x14ac:dyDescent="0.2">
      <c r="E546" s="106"/>
    </row>
    <row r="547" spans="5:5" ht="12.75" x14ac:dyDescent="0.2">
      <c r="E547" s="106"/>
    </row>
    <row r="548" spans="5:5" ht="12.75" x14ac:dyDescent="0.2">
      <c r="E548" s="106"/>
    </row>
    <row r="549" spans="5:5" ht="12.75" x14ac:dyDescent="0.2">
      <c r="E549" s="106"/>
    </row>
    <row r="550" spans="5:5" ht="12.75" x14ac:dyDescent="0.2">
      <c r="E550" s="106"/>
    </row>
    <row r="551" spans="5:5" ht="12.75" x14ac:dyDescent="0.2">
      <c r="E551" s="106"/>
    </row>
    <row r="552" spans="5:5" ht="12.75" x14ac:dyDescent="0.2">
      <c r="E552" s="106"/>
    </row>
    <row r="553" spans="5:5" ht="12.75" x14ac:dyDescent="0.2">
      <c r="E553" s="106"/>
    </row>
    <row r="554" spans="5:5" ht="12.75" x14ac:dyDescent="0.2">
      <c r="E554" s="106"/>
    </row>
    <row r="555" spans="5:5" ht="12.75" x14ac:dyDescent="0.2">
      <c r="E555" s="106"/>
    </row>
    <row r="556" spans="5:5" ht="12.75" x14ac:dyDescent="0.2">
      <c r="E556" s="106"/>
    </row>
    <row r="557" spans="5:5" ht="12.75" x14ac:dyDescent="0.2">
      <c r="E557" s="106"/>
    </row>
    <row r="558" spans="5:5" ht="12.75" x14ac:dyDescent="0.2">
      <c r="E558" s="106"/>
    </row>
    <row r="559" spans="5:5" ht="12.75" x14ac:dyDescent="0.2">
      <c r="E559" s="106"/>
    </row>
    <row r="560" spans="5:5" ht="12.75" x14ac:dyDescent="0.2">
      <c r="E560" s="106"/>
    </row>
    <row r="561" spans="5:41" ht="12.75" x14ac:dyDescent="0.2">
      <c r="E561" s="106"/>
    </row>
    <row r="562" spans="5:41" ht="12.75" x14ac:dyDescent="0.2">
      <c r="E562" s="106"/>
      <c r="T562" s="575"/>
      <c r="AO562" s="573"/>
    </row>
    <row r="563" spans="5:41" ht="12.75" x14ac:dyDescent="0.2">
      <c r="E563" s="106"/>
      <c r="T563" s="575"/>
    </row>
    <row r="564" spans="5:41" ht="12.75" x14ac:dyDescent="0.2">
      <c r="E564" s="106"/>
    </row>
    <row r="565" spans="5:41" ht="12.75" x14ac:dyDescent="0.2">
      <c r="E565" s="106"/>
    </row>
    <row r="566" spans="5:41" ht="12.75" x14ac:dyDescent="0.2">
      <c r="E566" s="106"/>
    </row>
    <row r="567" spans="5:41" ht="12.75" x14ac:dyDescent="0.2">
      <c r="E567" s="106"/>
    </row>
    <row r="568" spans="5:41" ht="12.75" x14ac:dyDescent="0.2">
      <c r="E568" s="106"/>
    </row>
    <row r="569" spans="5:41" ht="12.75" x14ac:dyDescent="0.2">
      <c r="E569" s="106"/>
    </row>
    <row r="570" spans="5:41" ht="12.75" x14ac:dyDescent="0.2">
      <c r="E570" s="106"/>
    </row>
    <row r="571" spans="5:41" ht="12.75" x14ac:dyDescent="0.2">
      <c r="E571" s="106"/>
    </row>
    <row r="572" spans="5:41" ht="12.75" x14ac:dyDescent="0.2">
      <c r="E572" s="106"/>
    </row>
    <row r="573" spans="5:41" ht="12.75" x14ac:dyDescent="0.2">
      <c r="E573" s="106"/>
    </row>
    <row r="574" spans="5:41" ht="12.75" x14ac:dyDescent="0.2">
      <c r="E574" s="106"/>
    </row>
    <row r="575" spans="5:41" ht="12.75" x14ac:dyDescent="0.2">
      <c r="E575" s="106"/>
    </row>
    <row r="576" spans="5:41" ht="12.75" x14ac:dyDescent="0.2">
      <c r="E576" s="106"/>
    </row>
    <row r="577" spans="5:5" ht="12.75" x14ac:dyDescent="0.2">
      <c r="E577" s="106"/>
    </row>
    <row r="578" spans="5:5" ht="12.75" x14ac:dyDescent="0.2">
      <c r="E578" s="106"/>
    </row>
    <row r="579" spans="5:5" ht="12.75" x14ac:dyDescent="0.2">
      <c r="E579" s="106"/>
    </row>
    <row r="580" spans="5:5" ht="12.75" x14ac:dyDescent="0.2">
      <c r="E580" s="106"/>
    </row>
    <row r="581" spans="5:5" ht="12.75" x14ac:dyDescent="0.2">
      <c r="E581" s="106"/>
    </row>
    <row r="582" spans="5:5" ht="12.75" x14ac:dyDescent="0.2">
      <c r="E582" s="106"/>
    </row>
    <row r="583" spans="5:5" ht="12.75" x14ac:dyDescent="0.2">
      <c r="E583" s="106"/>
    </row>
    <row r="584" spans="5:5" ht="12.75" x14ac:dyDescent="0.2">
      <c r="E584" s="106"/>
    </row>
    <row r="585" spans="5:5" ht="12.75" x14ac:dyDescent="0.2">
      <c r="E585" s="106"/>
    </row>
    <row r="586" spans="5:5" ht="12.75" x14ac:dyDescent="0.2">
      <c r="E586" s="106"/>
    </row>
    <row r="587" spans="5:5" ht="12.75" x14ac:dyDescent="0.2">
      <c r="E587" s="106"/>
    </row>
    <row r="588" spans="5:5" ht="12.75" x14ac:dyDescent="0.2">
      <c r="E588" s="106"/>
    </row>
    <row r="589" spans="5:5" ht="12.75" x14ac:dyDescent="0.2">
      <c r="E589" s="106"/>
    </row>
    <row r="590" spans="5:5" ht="12.75" x14ac:dyDescent="0.2">
      <c r="E590" s="106"/>
    </row>
    <row r="591" spans="5:5" ht="12.75" x14ac:dyDescent="0.2">
      <c r="E591" s="106"/>
    </row>
    <row r="592" spans="5:5" ht="12.75" x14ac:dyDescent="0.2">
      <c r="E592" s="106"/>
    </row>
    <row r="593" spans="5:5" ht="12.75" x14ac:dyDescent="0.2">
      <c r="E593" s="106"/>
    </row>
    <row r="594" spans="5:5" ht="12.75" x14ac:dyDescent="0.2">
      <c r="E594" s="106"/>
    </row>
    <row r="595" spans="5:5" ht="12.75" x14ac:dyDescent="0.2">
      <c r="E595" s="106"/>
    </row>
    <row r="596" spans="5:5" ht="12.75" x14ac:dyDescent="0.2">
      <c r="E596" s="106"/>
    </row>
    <row r="597" spans="5:5" ht="12.75" x14ac:dyDescent="0.2">
      <c r="E597" s="106"/>
    </row>
    <row r="598" spans="5:5" ht="12.75" x14ac:dyDescent="0.2">
      <c r="E598" s="106"/>
    </row>
    <row r="599" spans="5:5" ht="12.75" x14ac:dyDescent="0.2">
      <c r="E599" s="106"/>
    </row>
    <row r="600" spans="5:5" ht="12.75" x14ac:dyDescent="0.2">
      <c r="E600" s="106"/>
    </row>
    <row r="601" spans="5:5" ht="12.75" x14ac:dyDescent="0.2">
      <c r="E601" s="106"/>
    </row>
    <row r="602" spans="5:5" ht="12.75" x14ac:dyDescent="0.2">
      <c r="E602" s="106"/>
    </row>
    <row r="603" spans="5:5" ht="12.75" x14ac:dyDescent="0.2">
      <c r="E603" s="106"/>
    </row>
    <row r="604" spans="5:5" ht="12.75" x14ac:dyDescent="0.2">
      <c r="E604" s="106"/>
    </row>
    <row r="605" spans="5:5" ht="12.75" x14ac:dyDescent="0.2">
      <c r="E605" s="106"/>
    </row>
    <row r="606" spans="5:5" ht="12.75" x14ac:dyDescent="0.2">
      <c r="E606" s="106"/>
    </row>
    <row r="607" spans="5:5" ht="12.75" x14ac:dyDescent="0.2">
      <c r="E607" s="106"/>
    </row>
    <row r="608" spans="5:5" ht="12.75" x14ac:dyDescent="0.2">
      <c r="E608" s="106"/>
    </row>
    <row r="609" spans="5:5" ht="12.75" x14ac:dyDescent="0.2">
      <c r="E609" s="106"/>
    </row>
    <row r="610" spans="5:5" ht="12.75" x14ac:dyDescent="0.2">
      <c r="E610" s="106"/>
    </row>
    <row r="611" spans="5:5" ht="12.75" x14ac:dyDescent="0.2">
      <c r="E611" s="106"/>
    </row>
    <row r="612" spans="5:5" ht="12.75" x14ac:dyDescent="0.2">
      <c r="E612" s="106"/>
    </row>
    <row r="613" spans="5:5" ht="12.75" x14ac:dyDescent="0.2">
      <c r="E613" s="106"/>
    </row>
    <row r="614" spans="5:5" ht="12.75" x14ac:dyDescent="0.2">
      <c r="E614" s="106"/>
    </row>
    <row r="615" spans="5:5" ht="12.75" x14ac:dyDescent="0.2">
      <c r="E615" s="106"/>
    </row>
    <row r="616" spans="5:5" ht="12.75" x14ac:dyDescent="0.2">
      <c r="E616" s="106"/>
    </row>
    <row r="617" spans="5:5" ht="12.75" x14ac:dyDescent="0.2">
      <c r="E617" s="106"/>
    </row>
    <row r="618" spans="5:5" ht="12.75" x14ac:dyDescent="0.2">
      <c r="E618" s="106"/>
    </row>
    <row r="619" spans="5:5" ht="12.75" x14ac:dyDescent="0.2">
      <c r="E619" s="106"/>
    </row>
    <row r="620" spans="5:5" ht="12.75" x14ac:dyDescent="0.2">
      <c r="E620" s="106"/>
    </row>
    <row r="621" spans="5:5" ht="12.75" x14ac:dyDescent="0.2">
      <c r="E621" s="106"/>
    </row>
    <row r="622" spans="5:5" ht="12.75" x14ac:dyDescent="0.2">
      <c r="E622" s="106"/>
    </row>
    <row r="623" spans="5:5" ht="12.75" x14ac:dyDescent="0.2">
      <c r="E623" s="106"/>
    </row>
    <row r="624" spans="5:5" ht="12.75" x14ac:dyDescent="0.2">
      <c r="E624" s="106"/>
    </row>
    <row r="625" spans="5:5" ht="12.75" x14ac:dyDescent="0.2">
      <c r="E625" s="106"/>
    </row>
    <row r="626" spans="5:5" ht="12.75" x14ac:dyDescent="0.2">
      <c r="E626" s="106"/>
    </row>
    <row r="627" spans="5:5" ht="12.75" x14ac:dyDescent="0.2">
      <c r="E627" s="106"/>
    </row>
    <row r="628" spans="5:5" ht="12.75" x14ac:dyDescent="0.2">
      <c r="E628" s="106"/>
    </row>
    <row r="629" spans="5:5" ht="12.75" x14ac:dyDescent="0.2">
      <c r="E629" s="106"/>
    </row>
    <row r="630" spans="5:5" ht="12.75" x14ac:dyDescent="0.2">
      <c r="E630" s="106"/>
    </row>
    <row r="631" spans="5:5" ht="12.75" x14ac:dyDescent="0.2">
      <c r="E631" s="106"/>
    </row>
    <row r="632" spans="5:5" ht="12.75" x14ac:dyDescent="0.2">
      <c r="E632" s="106"/>
    </row>
    <row r="633" spans="5:5" ht="12.75" x14ac:dyDescent="0.2">
      <c r="E633" s="106"/>
    </row>
    <row r="634" spans="5:5" ht="12.75" x14ac:dyDescent="0.2">
      <c r="E634" s="106"/>
    </row>
    <row r="635" spans="5:5" ht="12.75" x14ac:dyDescent="0.2">
      <c r="E635" s="106"/>
    </row>
    <row r="636" spans="5:5" ht="12.75" x14ac:dyDescent="0.2">
      <c r="E636" s="106"/>
    </row>
    <row r="637" spans="5:5" ht="12.75" x14ac:dyDescent="0.2">
      <c r="E637" s="106"/>
    </row>
    <row r="638" spans="5:5" ht="12.75" x14ac:dyDescent="0.2">
      <c r="E638" s="106"/>
    </row>
    <row r="639" spans="5:5" ht="12.75" x14ac:dyDescent="0.2">
      <c r="E639" s="106"/>
    </row>
    <row r="640" spans="5:5" ht="12.75" x14ac:dyDescent="0.2">
      <c r="E640" s="106"/>
    </row>
    <row r="641" spans="5:5" ht="12.75" x14ac:dyDescent="0.2">
      <c r="E641" s="106"/>
    </row>
    <row r="642" spans="5:5" ht="12.75" x14ac:dyDescent="0.2">
      <c r="E642" s="106"/>
    </row>
    <row r="643" spans="5:5" ht="12.75" x14ac:dyDescent="0.2">
      <c r="E643" s="106"/>
    </row>
    <row r="644" spans="5:5" ht="12.75" x14ac:dyDescent="0.2">
      <c r="E644" s="106"/>
    </row>
    <row r="645" spans="5:5" ht="12.75" x14ac:dyDescent="0.2">
      <c r="E645" s="106"/>
    </row>
    <row r="646" spans="5:5" ht="12.75" x14ac:dyDescent="0.2">
      <c r="E646" s="106"/>
    </row>
    <row r="647" spans="5:5" ht="12.75" x14ac:dyDescent="0.2">
      <c r="E647" s="106"/>
    </row>
    <row r="648" spans="5:5" ht="12.75" x14ac:dyDescent="0.2">
      <c r="E648" s="106"/>
    </row>
    <row r="649" spans="5:5" ht="12.75" x14ac:dyDescent="0.2">
      <c r="E649" s="106"/>
    </row>
    <row r="650" spans="5:5" ht="12.75" x14ac:dyDescent="0.2">
      <c r="E650" s="106"/>
    </row>
    <row r="651" spans="5:5" ht="12.75" x14ac:dyDescent="0.2">
      <c r="E651" s="106"/>
    </row>
    <row r="652" spans="5:5" ht="12.75" x14ac:dyDescent="0.2">
      <c r="E652" s="106"/>
    </row>
    <row r="653" spans="5:5" ht="12.75" x14ac:dyDescent="0.2">
      <c r="E653" s="106"/>
    </row>
    <row r="654" spans="5:5" ht="12.75" x14ac:dyDescent="0.2">
      <c r="E654" s="106"/>
    </row>
    <row r="655" spans="5:5" ht="12.75" x14ac:dyDescent="0.2">
      <c r="E655" s="106"/>
    </row>
    <row r="656" spans="5:5" ht="12.75" x14ac:dyDescent="0.2">
      <c r="E656" s="106"/>
    </row>
    <row r="657" spans="5:5" ht="12.75" x14ac:dyDescent="0.2">
      <c r="E657" s="106"/>
    </row>
    <row r="658" spans="5:5" ht="12.75" x14ac:dyDescent="0.2">
      <c r="E658" s="106"/>
    </row>
    <row r="659" spans="5:5" ht="12.75" x14ac:dyDescent="0.2">
      <c r="E659" s="106"/>
    </row>
    <row r="660" spans="5:5" ht="12.75" x14ac:dyDescent="0.2">
      <c r="E660" s="106"/>
    </row>
    <row r="661" spans="5:5" ht="12.75" x14ac:dyDescent="0.2">
      <c r="E661" s="106"/>
    </row>
    <row r="662" spans="5:5" ht="12.75" x14ac:dyDescent="0.2">
      <c r="E662" s="106"/>
    </row>
    <row r="663" spans="5:5" ht="12.75" x14ac:dyDescent="0.2">
      <c r="E663" s="106"/>
    </row>
    <row r="664" spans="5:5" ht="12.75" x14ac:dyDescent="0.2">
      <c r="E664" s="106"/>
    </row>
    <row r="665" spans="5:5" ht="12.75" x14ac:dyDescent="0.2">
      <c r="E665" s="106"/>
    </row>
    <row r="666" spans="5:5" ht="12.75" x14ac:dyDescent="0.2">
      <c r="E666" s="106"/>
    </row>
    <row r="667" spans="5:5" ht="12.75" x14ac:dyDescent="0.2">
      <c r="E667" s="106"/>
    </row>
    <row r="668" spans="5:5" ht="12.75" x14ac:dyDescent="0.2">
      <c r="E668" s="106"/>
    </row>
    <row r="669" spans="5:5" ht="12.75" x14ac:dyDescent="0.2">
      <c r="E669" s="106"/>
    </row>
    <row r="670" spans="5:5" ht="12.75" x14ac:dyDescent="0.2">
      <c r="E670" s="106"/>
    </row>
    <row r="671" spans="5:5" ht="12.75" x14ac:dyDescent="0.2">
      <c r="E671" s="106"/>
    </row>
    <row r="672" spans="5:5" ht="12.75" x14ac:dyDescent="0.2">
      <c r="E672" s="106"/>
    </row>
    <row r="673" spans="5:5" ht="12.75" x14ac:dyDescent="0.2">
      <c r="E673" s="106"/>
    </row>
    <row r="674" spans="5:5" ht="12.75" x14ac:dyDescent="0.2">
      <c r="E674" s="106"/>
    </row>
    <row r="675" spans="5:5" ht="12.75" x14ac:dyDescent="0.2">
      <c r="E675" s="106"/>
    </row>
    <row r="676" spans="5:5" ht="12.75" x14ac:dyDescent="0.2">
      <c r="E676" s="106"/>
    </row>
    <row r="677" spans="5:5" ht="12.75" x14ac:dyDescent="0.2">
      <c r="E677" s="106"/>
    </row>
    <row r="678" spans="5:5" ht="12.75" x14ac:dyDescent="0.2">
      <c r="E678" s="106"/>
    </row>
    <row r="679" spans="5:5" ht="12.75" x14ac:dyDescent="0.2">
      <c r="E679" s="106"/>
    </row>
    <row r="680" spans="5:5" ht="12.75" x14ac:dyDescent="0.2">
      <c r="E680" s="106"/>
    </row>
    <row r="681" spans="5:5" ht="12.75" x14ac:dyDescent="0.2">
      <c r="E681" s="106"/>
    </row>
    <row r="682" spans="5:5" ht="12.75" x14ac:dyDescent="0.2">
      <c r="E682" s="106"/>
    </row>
    <row r="683" spans="5:5" ht="12.75" x14ac:dyDescent="0.2">
      <c r="E683" s="106"/>
    </row>
    <row r="684" spans="5:5" ht="12.75" x14ac:dyDescent="0.2">
      <c r="E684" s="106"/>
    </row>
    <row r="685" spans="5:5" ht="12.75" x14ac:dyDescent="0.2">
      <c r="E685" s="106"/>
    </row>
    <row r="686" spans="5:5" ht="12.75" x14ac:dyDescent="0.2">
      <c r="E686" s="106"/>
    </row>
    <row r="687" spans="5:5" ht="12.75" x14ac:dyDescent="0.2">
      <c r="E687" s="106"/>
    </row>
    <row r="688" spans="5:5" ht="12.75" x14ac:dyDescent="0.2">
      <c r="E688" s="106"/>
    </row>
    <row r="689" spans="5:5" ht="12.75" x14ac:dyDescent="0.2">
      <c r="E689" s="106"/>
    </row>
    <row r="690" spans="5:5" ht="12.75" x14ac:dyDescent="0.2">
      <c r="E690" s="106"/>
    </row>
    <row r="691" spans="5:5" ht="12.75" x14ac:dyDescent="0.2">
      <c r="E691" s="106"/>
    </row>
    <row r="692" spans="5:5" ht="12.75" x14ac:dyDescent="0.2">
      <c r="E692" s="106"/>
    </row>
    <row r="693" spans="5:5" ht="12.75" x14ac:dyDescent="0.2">
      <c r="E693" s="106"/>
    </row>
    <row r="694" spans="5:5" ht="12.75" x14ac:dyDescent="0.2">
      <c r="E694" s="106"/>
    </row>
    <row r="695" spans="5:5" ht="12.75" x14ac:dyDescent="0.2">
      <c r="E695" s="106"/>
    </row>
    <row r="696" spans="5:5" ht="12.75" x14ac:dyDescent="0.2">
      <c r="E696" s="106"/>
    </row>
    <row r="697" spans="5:5" ht="12.75" x14ac:dyDescent="0.2">
      <c r="E697" s="106"/>
    </row>
    <row r="698" spans="5:5" ht="12.75" x14ac:dyDescent="0.2">
      <c r="E698" s="106"/>
    </row>
    <row r="699" spans="5:5" ht="12.75" x14ac:dyDescent="0.2">
      <c r="E699" s="106"/>
    </row>
    <row r="700" spans="5:5" ht="12.75" x14ac:dyDescent="0.2">
      <c r="E700" s="106"/>
    </row>
    <row r="701" spans="5:5" ht="12.75" x14ac:dyDescent="0.2">
      <c r="E701" s="106"/>
    </row>
    <row r="702" spans="5:5" ht="12.75" x14ac:dyDescent="0.2">
      <c r="E702" s="106"/>
    </row>
    <row r="703" spans="5:5" ht="12.75" x14ac:dyDescent="0.2">
      <c r="E703" s="106"/>
    </row>
    <row r="704" spans="5:5" ht="12.75" x14ac:dyDescent="0.2">
      <c r="E704" s="106"/>
    </row>
    <row r="705" spans="5:5" ht="12.75" x14ac:dyDescent="0.2">
      <c r="E705" s="106"/>
    </row>
    <row r="706" spans="5:5" ht="12.75" x14ac:dyDescent="0.2">
      <c r="E706" s="106"/>
    </row>
    <row r="707" spans="5:5" ht="12.75" x14ac:dyDescent="0.2">
      <c r="E707" s="106"/>
    </row>
    <row r="708" spans="5:5" ht="12.75" x14ac:dyDescent="0.2">
      <c r="E708" s="106"/>
    </row>
    <row r="709" spans="5:5" ht="12.75" x14ac:dyDescent="0.2">
      <c r="E709" s="106"/>
    </row>
    <row r="710" spans="5:5" ht="12.75" x14ac:dyDescent="0.2">
      <c r="E710" s="106"/>
    </row>
    <row r="711" spans="5:5" ht="12.75" x14ac:dyDescent="0.2">
      <c r="E711" s="106"/>
    </row>
    <row r="712" spans="5:5" ht="12.75" x14ac:dyDescent="0.2">
      <c r="E712" s="106"/>
    </row>
    <row r="713" spans="5:5" ht="12.75" x14ac:dyDescent="0.2">
      <c r="E713" s="106"/>
    </row>
    <row r="714" spans="5:5" ht="12.75" x14ac:dyDescent="0.2">
      <c r="E714" s="106"/>
    </row>
    <row r="715" spans="5:5" ht="12.75" x14ac:dyDescent="0.2">
      <c r="E715" s="106"/>
    </row>
    <row r="716" spans="5:5" ht="12.75" x14ac:dyDescent="0.2">
      <c r="E716" s="106"/>
    </row>
    <row r="717" spans="5:5" ht="12.75" x14ac:dyDescent="0.2">
      <c r="E717" s="106"/>
    </row>
    <row r="718" spans="5:5" ht="12.75" x14ac:dyDescent="0.2">
      <c r="E718" s="106"/>
    </row>
    <row r="719" spans="5:5" ht="12.75" x14ac:dyDescent="0.2">
      <c r="E719" s="106"/>
    </row>
    <row r="720" spans="5:5" ht="12.75" x14ac:dyDescent="0.2">
      <c r="E720" s="106"/>
    </row>
    <row r="721" spans="5:5" ht="12.75" x14ac:dyDescent="0.2">
      <c r="E721" s="106"/>
    </row>
    <row r="722" spans="5:5" ht="12.75" x14ac:dyDescent="0.2">
      <c r="E722" s="106"/>
    </row>
    <row r="723" spans="5:5" ht="12.75" x14ac:dyDescent="0.2">
      <c r="E723" s="106"/>
    </row>
    <row r="724" spans="5:5" ht="12.75" x14ac:dyDescent="0.2">
      <c r="E724" s="106"/>
    </row>
    <row r="725" spans="5:5" ht="12.75" x14ac:dyDescent="0.2">
      <c r="E725" s="106"/>
    </row>
    <row r="726" spans="5:5" ht="12.75" x14ac:dyDescent="0.2">
      <c r="E726" s="106"/>
    </row>
    <row r="727" spans="5:5" ht="12.75" x14ac:dyDescent="0.2">
      <c r="E727" s="106"/>
    </row>
    <row r="728" spans="5:5" ht="12.75" x14ac:dyDescent="0.2">
      <c r="E728" s="106"/>
    </row>
    <row r="729" spans="5:5" ht="12.75" x14ac:dyDescent="0.2">
      <c r="E729" s="106"/>
    </row>
    <row r="730" spans="5:5" ht="12.75" x14ac:dyDescent="0.2">
      <c r="E730" s="106"/>
    </row>
    <row r="731" spans="5:5" ht="12.75" x14ac:dyDescent="0.2">
      <c r="E731" s="106"/>
    </row>
    <row r="732" spans="5:5" ht="12.75" x14ac:dyDescent="0.2">
      <c r="E732" s="106"/>
    </row>
    <row r="733" spans="5:5" ht="12.75" x14ac:dyDescent="0.2">
      <c r="E733" s="106"/>
    </row>
    <row r="734" spans="5:5" ht="12.75" x14ac:dyDescent="0.2">
      <c r="E734" s="106"/>
    </row>
    <row r="735" spans="5:5" ht="12.75" x14ac:dyDescent="0.2">
      <c r="E735" s="106"/>
    </row>
    <row r="736" spans="5:5" ht="12.75" x14ac:dyDescent="0.2">
      <c r="E736" s="106"/>
    </row>
    <row r="737" spans="5:5" ht="12.75" x14ac:dyDescent="0.2">
      <c r="E737" s="106"/>
    </row>
    <row r="738" spans="5:5" ht="12.75" x14ac:dyDescent="0.2">
      <c r="E738" s="106"/>
    </row>
    <row r="739" spans="5:5" ht="12.75" x14ac:dyDescent="0.2">
      <c r="E739" s="106"/>
    </row>
    <row r="740" spans="5:5" ht="12.75" x14ac:dyDescent="0.2">
      <c r="E740" s="106"/>
    </row>
    <row r="741" spans="5:5" ht="12.75" x14ac:dyDescent="0.2">
      <c r="E741" s="106"/>
    </row>
    <row r="742" spans="5:5" ht="12.75" x14ac:dyDescent="0.2">
      <c r="E742" s="106"/>
    </row>
    <row r="743" spans="5:5" ht="12.75" x14ac:dyDescent="0.2">
      <c r="E743" s="106"/>
    </row>
    <row r="744" spans="5:5" ht="12.75" x14ac:dyDescent="0.2">
      <c r="E744" s="106"/>
    </row>
    <row r="745" spans="5:5" ht="12.75" x14ac:dyDescent="0.2">
      <c r="E745" s="106"/>
    </row>
    <row r="746" spans="5:5" ht="12.75" x14ac:dyDescent="0.2">
      <c r="E746" s="106"/>
    </row>
    <row r="747" spans="5:5" ht="12.75" x14ac:dyDescent="0.2">
      <c r="E747" s="106"/>
    </row>
    <row r="748" spans="5:5" ht="12.75" x14ac:dyDescent="0.2">
      <c r="E748" s="106"/>
    </row>
    <row r="749" spans="5:5" ht="12.75" x14ac:dyDescent="0.2">
      <c r="E749" s="106"/>
    </row>
    <row r="750" spans="5:5" ht="12.75" x14ac:dyDescent="0.2">
      <c r="E750" s="106"/>
    </row>
    <row r="751" spans="5:5" ht="12.75" x14ac:dyDescent="0.2">
      <c r="E751" s="106"/>
    </row>
    <row r="752" spans="5:5" ht="12.75" x14ac:dyDescent="0.2">
      <c r="E752" s="106"/>
    </row>
    <row r="753" spans="5:5" ht="12.75" x14ac:dyDescent="0.2">
      <c r="E753" s="106"/>
    </row>
    <row r="754" spans="5:5" ht="12.75" x14ac:dyDescent="0.2">
      <c r="E754" s="106"/>
    </row>
    <row r="755" spans="5:5" ht="12.75" x14ac:dyDescent="0.2">
      <c r="E755" s="106"/>
    </row>
    <row r="756" spans="5:5" ht="12.75" x14ac:dyDescent="0.2">
      <c r="E756" s="106"/>
    </row>
    <row r="757" spans="5:5" ht="12.75" x14ac:dyDescent="0.2">
      <c r="E757" s="106"/>
    </row>
    <row r="758" spans="5:5" ht="12.75" x14ac:dyDescent="0.2">
      <c r="E758" s="106"/>
    </row>
    <row r="759" spans="5:5" ht="12.75" x14ac:dyDescent="0.2">
      <c r="E759" s="106"/>
    </row>
    <row r="760" spans="5:5" ht="12.75" x14ac:dyDescent="0.2">
      <c r="E760" s="106"/>
    </row>
    <row r="761" spans="5:5" ht="12.75" x14ac:dyDescent="0.2">
      <c r="E761" s="106"/>
    </row>
    <row r="762" spans="5:5" ht="12.75" x14ac:dyDescent="0.2">
      <c r="E762" s="106"/>
    </row>
    <row r="763" spans="5:5" ht="12.75" x14ac:dyDescent="0.2">
      <c r="E763" s="106"/>
    </row>
    <row r="764" spans="5:5" ht="12.75" x14ac:dyDescent="0.2">
      <c r="E764" s="106"/>
    </row>
    <row r="765" spans="5:5" ht="12.75" x14ac:dyDescent="0.2">
      <c r="E765" s="106"/>
    </row>
    <row r="766" spans="5:5" ht="12.75" x14ac:dyDescent="0.2">
      <c r="E766" s="106"/>
    </row>
    <row r="767" spans="5:5" ht="12.75" x14ac:dyDescent="0.2">
      <c r="E767" s="106"/>
    </row>
    <row r="768" spans="5:5" ht="12.75" x14ac:dyDescent="0.2">
      <c r="E768" s="106"/>
    </row>
    <row r="769" spans="5:5" ht="12.75" x14ac:dyDescent="0.2">
      <c r="E769" s="106"/>
    </row>
    <row r="770" spans="5:5" ht="12.75" x14ac:dyDescent="0.2">
      <c r="E770" s="106"/>
    </row>
    <row r="771" spans="5:5" ht="12.75" x14ac:dyDescent="0.2">
      <c r="E771" s="106"/>
    </row>
    <row r="772" spans="5:5" ht="12.75" x14ac:dyDescent="0.2">
      <c r="E772" s="106"/>
    </row>
    <row r="773" spans="5:5" ht="12.75" x14ac:dyDescent="0.2">
      <c r="E773" s="106"/>
    </row>
    <row r="774" spans="5:5" ht="12.75" x14ac:dyDescent="0.2">
      <c r="E774" s="106"/>
    </row>
    <row r="775" spans="5:5" ht="12.75" x14ac:dyDescent="0.2">
      <c r="E775" s="106"/>
    </row>
    <row r="776" spans="5:5" ht="12.75" x14ac:dyDescent="0.2">
      <c r="E776" s="106"/>
    </row>
    <row r="777" spans="5:5" ht="12.75" x14ac:dyDescent="0.2">
      <c r="E777" s="106"/>
    </row>
    <row r="778" spans="5:5" ht="12.75" x14ac:dyDescent="0.2">
      <c r="E778" s="106"/>
    </row>
    <row r="779" spans="5:5" ht="12.75" x14ac:dyDescent="0.2">
      <c r="E779" s="106"/>
    </row>
    <row r="780" spans="5:5" ht="12.75" x14ac:dyDescent="0.2">
      <c r="E780" s="106"/>
    </row>
    <row r="781" spans="5:5" ht="12.75" x14ac:dyDescent="0.2">
      <c r="E781" s="106"/>
    </row>
    <row r="782" spans="5:5" ht="12.75" x14ac:dyDescent="0.2">
      <c r="E782" s="106"/>
    </row>
    <row r="783" spans="5:5" ht="12.75" x14ac:dyDescent="0.2">
      <c r="E783" s="106"/>
    </row>
    <row r="784" spans="5:5" ht="12.75" x14ac:dyDescent="0.2">
      <c r="E784" s="106"/>
    </row>
    <row r="785" spans="5:5" ht="12.75" x14ac:dyDescent="0.2">
      <c r="E785" s="106"/>
    </row>
    <row r="786" spans="5:5" ht="12.75" x14ac:dyDescent="0.2">
      <c r="E786" s="106"/>
    </row>
    <row r="787" spans="5:5" ht="12.75" x14ac:dyDescent="0.2">
      <c r="E787" s="106"/>
    </row>
    <row r="788" spans="5:5" ht="12.75" x14ac:dyDescent="0.2">
      <c r="E788" s="106"/>
    </row>
    <row r="789" spans="5:5" ht="12.75" x14ac:dyDescent="0.2">
      <c r="E789" s="106"/>
    </row>
    <row r="790" spans="5:5" ht="12.75" x14ac:dyDescent="0.2">
      <c r="E790" s="106"/>
    </row>
    <row r="791" spans="5:5" ht="12.75" x14ac:dyDescent="0.2">
      <c r="E791" s="106"/>
    </row>
    <row r="792" spans="5:5" ht="12.75" x14ac:dyDescent="0.2">
      <c r="E792" s="106"/>
    </row>
    <row r="793" spans="5:5" ht="12.75" x14ac:dyDescent="0.2">
      <c r="E793" s="106"/>
    </row>
    <row r="794" spans="5:5" ht="12.75" x14ac:dyDescent="0.2">
      <c r="E794" s="106"/>
    </row>
    <row r="795" spans="5:5" ht="12.75" x14ac:dyDescent="0.2">
      <c r="E795" s="106"/>
    </row>
    <row r="796" spans="5:5" ht="12.75" x14ac:dyDescent="0.2">
      <c r="E796" s="106"/>
    </row>
    <row r="797" spans="5:5" ht="12.75" x14ac:dyDescent="0.2">
      <c r="E797" s="106"/>
    </row>
    <row r="798" spans="5:5" ht="12.75" x14ac:dyDescent="0.2">
      <c r="E798" s="106"/>
    </row>
    <row r="799" spans="5:5" ht="12.75" x14ac:dyDescent="0.2">
      <c r="E799" s="106"/>
    </row>
    <row r="800" spans="5:5" ht="12.75" x14ac:dyDescent="0.2">
      <c r="E800" s="106"/>
    </row>
    <row r="801" spans="5:9" ht="12.75" x14ac:dyDescent="0.2">
      <c r="E801" s="106"/>
      <c r="I801" s="376"/>
    </row>
    <row r="802" spans="5:9" ht="12.75" x14ac:dyDescent="0.2">
      <c r="E802" s="106"/>
    </row>
    <row r="803" spans="5:9" ht="12.75" x14ac:dyDescent="0.2">
      <c r="E803" s="106"/>
    </row>
    <row r="804" spans="5:9" ht="12.75" x14ac:dyDescent="0.2">
      <c r="E804" s="106"/>
    </row>
    <row r="805" spans="5:9" ht="12.75" x14ac:dyDescent="0.2">
      <c r="E805" s="106"/>
    </row>
    <row r="806" spans="5:9" ht="12.75" x14ac:dyDescent="0.2">
      <c r="E806" s="106"/>
    </row>
    <row r="807" spans="5:9" ht="12.75" x14ac:dyDescent="0.2">
      <c r="E807" s="106"/>
    </row>
    <row r="808" spans="5:9" ht="12.75" x14ac:dyDescent="0.2">
      <c r="E808" s="106"/>
    </row>
    <row r="809" spans="5:9" ht="12.75" x14ac:dyDescent="0.2">
      <c r="E809" s="106"/>
    </row>
    <row r="810" spans="5:9" ht="12.75" x14ac:dyDescent="0.2">
      <c r="E810" s="106"/>
    </row>
    <row r="811" spans="5:9" ht="12.75" x14ac:dyDescent="0.2">
      <c r="E811" s="106"/>
    </row>
    <row r="812" spans="5:9" ht="12.75" x14ac:dyDescent="0.2">
      <c r="E812" s="106"/>
    </row>
    <row r="813" spans="5:9" ht="12.75" x14ac:dyDescent="0.2">
      <c r="E813" s="106"/>
    </row>
    <row r="814" spans="5:9" ht="12.75" x14ac:dyDescent="0.2">
      <c r="E814" s="106"/>
    </row>
    <row r="815" spans="5:9" ht="12.75" x14ac:dyDescent="0.2">
      <c r="E815" s="106"/>
    </row>
    <row r="816" spans="5:9" ht="12.75" x14ac:dyDescent="0.2">
      <c r="E816" s="106"/>
    </row>
    <row r="817" spans="5:5" ht="12.75" x14ac:dyDescent="0.2">
      <c r="E817" s="106"/>
    </row>
    <row r="818" spans="5:5" ht="12.75" x14ac:dyDescent="0.2">
      <c r="E818" s="106"/>
    </row>
    <row r="819" spans="5:5" ht="12.75" x14ac:dyDescent="0.2">
      <c r="E819" s="106"/>
    </row>
    <row r="820" spans="5:5" ht="12.75" x14ac:dyDescent="0.2">
      <c r="E820" s="106"/>
    </row>
    <row r="821" spans="5:5" ht="12.75" x14ac:dyDescent="0.2">
      <c r="E821" s="106"/>
    </row>
    <row r="822" spans="5:5" ht="12.75" x14ac:dyDescent="0.2">
      <c r="E822" s="106"/>
    </row>
    <row r="823" spans="5:5" ht="12.75" x14ac:dyDescent="0.2">
      <c r="E823" s="106"/>
    </row>
    <row r="824" spans="5:5" ht="12.75" x14ac:dyDescent="0.2">
      <c r="E824" s="106"/>
    </row>
    <row r="825" spans="5:5" ht="12.75" x14ac:dyDescent="0.2">
      <c r="E825" s="106"/>
    </row>
    <row r="826" spans="5:5" ht="12.75" x14ac:dyDescent="0.2">
      <c r="E826" s="106"/>
    </row>
    <row r="827" spans="5:5" ht="12.75" x14ac:dyDescent="0.2">
      <c r="E827" s="106"/>
    </row>
    <row r="828" spans="5:5" ht="12.75" x14ac:dyDescent="0.2">
      <c r="E828" s="106"/>
    </row>
    <row r="829" spans="5:5" ht="12.75" x14ac:dyDescent="0.2">
      <c r="E829" s="106"/>
    </row>
    <row r="830" spans="5:5" ht="12.75" x14ac:dyDescent="0.2">
      <c r="E830" s="106"/>
    </row>
    <row r="831" spans="5:5" ht="12.75" x14ac:dyDescent="0.2">
      <c r="E831" s="106"/>
    </row>
    <row r="832" spans="5:5" ht="12.75" x14ac:dyDescent="0.2">
      <c r="E832" s="106"/>
    </row>
    <row r="833" spans="5:5" ht="12.75" x14ac:dyDescent="0.2">
      <c r="E833" s="106"/>
    </row>
    <row r="834" spans="5:5" ht="12.75" x14ac:dyDescent="0.2">
      <c r="E834" s="106"/>
    </row>
    <row r="835" spans="5:5" ht="12.75" x14ac:dyDescent="0.2">
      <c r="E835" s="106"/>
    </row>
    <row r="836" spans="5:5" ht="12.75" x14ac:dyDescent="0.2">
      <c r="E836" s="106"/>
    </row>
    <row r="837" spans="5:5" ht="12.75" x14ac:dyDescent="0.2">
      <c r="E837" s="106"/>
    </row>
    <row r="838" spans="5:5" ht="12.75" x14ac:dyDescent="0.2">
      <c r="E838" s="106"/>
    </row>
    <row r="839" spans="5:5" ht="12.75" x14ac:dyDescent="0.2">
      <c r="E839" s="106"/>
    </row>
    <row r="840" spans="5:5" ht="12.75" x14ac:dyDescent="0.2">
      <c r="E840" s="106"/>
    </row>
    <row r="841" spans="5:5" ht="12.75" x14ac:dyDescent="0.2">
      <c r="E841" s="106"/>
    </row>
    <row r="842" spans="5:5" ht="12.75" x14ac:dyDescent="0.2">
      <c r="E842" s="106"/>
    </row>
    <row r="843" spans="5:5" ht="12.75" x14ac:dyDescent="0.2">
      <c r="E843" s="106"/>
    </row>
    <row r="844" spans="5:5" ht="12.75" x14ac:dyDescent="0.2">
      <c r="E844" s="106"/>
    </row>
    <row r="845" spans="5:5" ht="12.75" x14ac:dyDescent="0.2">
      <c r="E845" s="106"/>
    </row>
    <row r="846" spans="5:5" ht="12.75" x14ac:dyDescent="0.2">
      <c r="E846" s="106"/>
    </row>
    <row r="847" spans="5:5" ht="12.75" x14ac:dyDescent="0.2">
      <c r="E847" s="106"/>
    </row>
    <row r="848" spans="5:5" ht="12.75" x14ac:dyDescent="0.2">
      <c r="E848" s="106"/>
    </row>
    <row r="849" spans="5:5" ht="12.75" x14ac:dyDescent="0.2">
      <c r="E849" s="106"/>
    </row>
    <row r="850" spans="5:5" ht="12.75" x14ac:dyDescent="0.2">
      <c r="E850" s="106"/>
    </row>
    <row r="851" spans="5:5" ht="12.75" x14ac:dyDescent="0.2">
      <c r="E851" s="106"/>
    </row>
    <row r="852" spans="5:5" ht="12.75" x14ac:dyDescent="0.2">
      <c r="E852" s="106"/>
    </row>
    <row r="853" spans="5:5" ht="12.75" x14ac:dyDescent="0.2">
      <c r="E853" s="106"/>
    </row>
    <row r="854" spans="5:5" ht="12.75" x14ac:dyDescent="0.2">
      <c r="E854" s="106"/>
    </row>
    <row r="855" spans="5:5" ht="12.75" x14ac:dyDescent="0.2">
      <c r="E855" s="106"/>
    </row>
    <row r="856" spans="5:5" ht="12.75" x14ac:dyDescent="0.2">
      <c r="E856" s="106"/>
    </row>
    <row r="857" spans="5:5" ht="12.75" x14ac:dyDescent="0.2">
      <c r="E857" s="106"/>
    </row>
    <row r="858" spans="5:5" ht="12.75" x14ac:dyDescent="0.2">
      <c r="E858" s="106"/>
    </row>
    <row r="859" spans="5:5" ht="12.75" x14ac:dyDescent="0.2">
      <c r="E859" s="106"/>
    </row>
    <row r="860" spans="5:5" ht="12.75" x14ac:dyDescent="0.2">
      <c r="E860" s="106"/>
    </row>
    <row r="861" spans="5:5" ht="12.75" x14ac:dyDescent="0.2">
      <c r="E861" s="106"/>
    </row>
    <row r="862" spans="5:5" ht="12.75" x14ac:dyDescent="0.2">
      <c r="E862" s="106"/>
    </row>
    <row r="863" spans="5:5" ht="12.75" x14ac:dyDescent="0.2">
      <c r="E863" s="106"/>
    </row>
    <row r="864" spans="5:5" ht="12.75" x14ac:dyDescent="0.2">
      <c r="E864" s="106"/>
    </row>
    <row r="865" spans="5:5" ht="12.75" x14ac:dyDescent="0.2">
      <c r="E865" s="106"/>
    </row>
    <row r="866" spans="5:5" ht="12.75" x14ac:dyDescent="0.2">
      <c r="E866" s="106"/>
    </row>
    <row r="867" spans="5:5" ht="12.75" x14ac:dyDescent="0.2">
      <c r="E867" s="106"/>
    </row>
    <row r="868" spans="5:5" ht="12.75" x14ac:dyDescent="0.2">
      <c r="E868" s="106"/>
    </row>
    <row r="869" spans="5:5" ht="12.75" x14ac:dyDescent="0.2">
      <c r="E869" s="106"/>
    </row>
    <row r="870" spans="5:5" ht="12.75" x14ac:dyDescent="0.2">
      <c r="E870" s="106"/>
    </row>
    <row r="871" spans="5:5" ht="12.75" x14ac:dyDescent="0.2">
      <c r="E871" s="106"/>
    </row>
    <row r="872" spans="5:5" ht="12.75" x14ac:dyDescent="0.2">
      <c r="E872" s="106"/>
    </row>
    <row r="873" spans="5:5" ht="12.75" x14ac:dyDescent="0.2">
      <c r="E873" s="106"/>
    </row>
    <row r="874" spans="5:5" ht="12.75" x14ac:dyDescent="0.2">
      <c r="E874" s="106"/>
    </row>
    <row r="875" spans="5:5" ht="12.75" x14ac:dyDescent="0.2">
      <c r="E875" s="106"/>
    </row>
    <row r="876" spans="5:5" ht="12.75" x14ac:dyDescent="0.2">
      <c r="E876" s="106"/>
    </row>
    <row r="877" spans="5:5" ht="12.75" x14ac:dyDescent="0.2">
      <c r="E877" s="106"/>
    </row>
    <row r="878" spans="5:5" ht="12.75" x14ac:dyDescent="0.2">
      <c r="E878" s="106"/>
    </row>
    <row r="879" spans="5:5" ht="12.75" x14ac:dyDescent="0.2">
      <c r="E879" s="106"/>
    </row>
    <row r="880" spans="5:5" ht="12.75" x14ac:dyDescent="0.2">
      <c r="E880" s="106"/>
    </row>
    <row r="881" spans="5:5" ht="12.75" x14ac:dyDescent="0.2">
      <c r="E881" s="106"/>
    </row>
    <row r="882" spans="5:5" ht="12.75" x14ac:dyDescent="0.2">
      <c r="E882" s="106"/>
    </row>
    <row r="883" spans="5:5" ht="12.75" x14ac:dyDescent="0.2">
      <c r="E883" s="106"/>
    </row>
    <row r="884" spans="5:5" ht="12.75" x14ac:dyDescent="0.2">
      <c r="E884" s="106"/>
    </row>
    <row r="885" spans="5:5" ht="12.75" x14ac:dyDescent="0.2">
      <c r="E885" s="106"/>
    </row>
    <row r="886" spans="5:5" ht="12.75" x14ac:dyDescent="0.2">
      <c r="E886" s="106"/>
    </row>
    <row r="887" spans="5:5" ht="12.75" x14ac:dyDescent="0.2">
      <c r="E887" s="106"/>
    </row>
  </sheetData>
  <mergeCells count="36">
    <mergeCell ref="A5:B6"/>
    <mergeCell ref="C5:F5"/>
    <mergeCell ref="C6:D6"/>
    <mergeCell ref="E6:F6"/>
    <mergeCell ref="G5:H5"/>
    <mergeCell ref="G6:G7"/>
    <mergeCell ref="H6:H7"/>
    <mergeCell ref="I5:J5"/>
    <mergeCell ref="K5:L5"/>
    <mergeCell ref="I6:I7"/>
    <mergeCell ref="J6:J7"/>
    <mergeCell ref="K6:K7"/>
    <mergeCell ref="L6:L7"/>
    <mergeCell ref="M6:M7"/>
    <mergeCell ref="O6:O7"/>
    <mergeCell ref="P6:P7"/>
    <mergeCell ref="Q6:Q7"/>
    <mergeCell ref="R5:R7"/>
    <mergeCell ref="M5:N5"/>
    <mergeCell ref="N6:N7"/>
    <mergeCell ref="AR5:AT6"/>
    <mergeCell ref="AU5:AW6"/>
    <mergeCell ref="C1:AT1"/>
    <mergeCell ref="C2:AT2"/>
    <mergeCell ref="C3:AT3"/>
    <mergeCell ref="C4:AT4"/>
    <mergeCell ref="AC5:AE6"/>
    <mergeCell ref="AF5:AH6"/>
    <mergeCell ref="AI5:AK6"/>
    <mergeCell ref="AL5:AN6"/>
    <mergeCell ref="AO5:AQ6"/>
    <mergeCell ref="S5:S7"/>
    <mergeCell ref="T5:V6"/>
    <mergeCell ref="W5:Y6"/>
    <mergeCell ref="Z5:AB6"/>
    <mergeCell ref="O5:Q5"/>
  </mergeCells>
  <dataValidations disablePrompts="1" count="1">
    <dataValidation type="list" allowBlank="1" showInputMessage="1" showErrorMessage="1" sqref="N439" xr:uid="{00000000-0002-0000-0000-000000000000}">
      <formula1>INDIRECT("_"&amp;#REF!)</formula1>
    </dataValidation>
  </dataValidations>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showGridLines="0" zoomScale="80" zoomScaleNormal="80" workbookViewId="0">
      <pane xSplit="1" ySplit="2" topLeftCell="B58" activePane="bottomRight" state="frozen"/>
      <selection pane="topRight" activeCell="B1" sqref="B1"/>
      <selection pane="bottomLeft" activeCell="A3" sqref="A3"/>
      <selection pane="bottomRight" activeCell="F84" sqref="F84"/>
    </sheetView>
  </sheetViews>
  <sheetFormatPr baseColWidth="10" defaultColWidth="11.42578125" defaultRowHeight="12.75" x14ac:dyDescent="0.2"/>
  <cols>
    <col min="1" max="1" width="13.5703125" style="116" customWidth="1"/>
    <col min="2" max="2" width="32.42578125" style="117" customWidth="1"/>
    <col min="3" max="3" width="21.28515625" style="116" customWidth="1"/>
    <col min="4" max="4" width="21.140625" style="68" customWidth="1"/>
    <col min="5" max="5" width="14.7109375" style="68" customWidth="1"/>
    <col min="6" max="6" width="21.5703125" style="68" customWidth="1"/>
    <col min="7" max="7" width="17.5703125" style="68" customWidth="1"/>
    <col min="8" max="16384" width="11.42578125" style="68"/>
  </cols>
  <sheetData>
    <row r="1" spans="1:7" ht="49.5" customHeight="1" x14ac:dyDescent="0.2">
      <c r="A1" s="229" t="s">
        <v>1257</v>
      </c>
      <c r="B1" s="230"/>
      <c r="C1" s="230"/>
      <c r="D1" s="230"/>
      <c r="E1" s="230"/>
      <c r="F1" s="230"/>
      <c r="G1" s="230"/>
    </row>
    <row r="2" spans="1:7" ht="43.5" customHeight="1" x14ac:dyDescent="0.2">
      <c r="A2" s="215" t="s">
        <v>1235</v>
      </c>
      <c r="B2" s="216" t="s">
        <v>1120</v>
      </c>
      <c r="C2" s="217" t="s">
        <v>1200</v>
      </c>
      <c r="D2" s="217" t="s">
        <v>1201</v>
      </c>
      <c r="E2" s="217" t="s">
        <v>1236</v>
      </c>
      <c r="F2" s="217" t="s">
        <v>1202</v>
      </c>
      <c r="G2" s="217" t="s">
        <v>1237</v>
      </c>
    </row>
    <row r="3" spans="1:7" ht="29.25" customHeight="1" x14ac:dyDescent="0.2">
      <c r="A3" s="11">
        <v>12</v>
      </c>
      <c r="B3" s="12" t="s">
        <v>106</v>
      </c>
      <c r="C3" s="223">
        <f>SUM(C4:C6)</f>
        <v>797000000</v>
      </c>
      <c r="D3" s="223">
        <f>SUM(D4:D6)</f>
        <v>363176198</v>
      </c>
      <c r="E3" s="168">
        <f>D3/C3</f>
        <v>0.45567904391468006</v>
      </c>
      <c r="F3" s="223">
        <f>SUM(F4:F6)</f>
        <v>264113605.40000001</v>
      </c>
      <c r="G3" s="168">
        <f t="shared" ref="G3:G34" si="0">F3/C3</f>
        <v>0.33138469937264742</v>
      </c>
    </row>
    <row r="4" spans="1:7" ht="24.75" customHeight="1" x14ac:dyDescent="0.2">
      <c r="A4" s="108">
        <v>1202</v>
      </c>
      <c r="B4" s="110" t="s">
        <v>107</v>
      </c>
      <c r="C4" s="224">
        <f>'SGTO POAI 2024 ARMONIZADO'!AU39+'SGTO POAI 2024 ARMONIZADO'!AU65+'SGTO POAI 2024 ARMONIZADO'!AU66</f>
        <v>656000000</v>
      </c>
      <c r="D4" s="224">
        <f>'SGTO POAI 2024 ARMONIZADO'!AV39+'SGTO POAI 2024 ARMONIZADO'!AV65+'SGTO POAI 2024 ARMONIZADO'!AV66</f>
        <v>231679999</v>
      </c>
      <c r="E4" s="167">
        <f t="shared" ref="E4:E61" si="1">D4/C4</f>
        <v>0.35317073018292683</v>
      </c>
      <c r="F4" s="224">
        <f>'SGTO POAI 2024 ARMONIZADO'!AW39+'SGTO POAI 2024 ARMONIZADO'!AW65+'SGTO POAI 2024 ARMONIZADO'!AW66</f>
        <v>176913605.40000001</v>
      </c>
      <c r="G4" s="167">
        <f t="shared" si="0"/>
        <v>0.26968537408536586</v>
      </c>
    </row>
    <row r="5" spans="1:7" ht="32.25" customHeight="1" x14ac:dyDescent="0.2">
      <c r="A5" s="108">
        <v>1203</v>
      </c>
      <c r="B5" s="110" t="s">
        <v>232</v>
      </c>
      <c r="C5" s="224">
        <f>'SGTO POAI 2024 ARMONIZADO'!AU67+'SGTO POAI 2024 ARMONIZADO'!AU68</f>
        <v>55000000</v>
      </c>
      <c r="D5" s="224">
        <f>'SGTO POAI 2024 ARMONIZADO'!AV67+'SGTO POAI 2024 ARMONIZADO'!AV68</f>
        <v>45689999</v>
      </c>
      <c r="E5" s="167">
        <f t="shared" si="1"/>
        <v>0.8307272545454546</v>
      </c>
      <c r="F5" s="224">
        <f>'SGTO POAI 2024 ARMONIZADO'!AW67+'SGTO POAI 2024 ARMONIZADO'!AW68</f>
        <v>41900000</v>
      </c>
      <c r="G5" s="167">
        <f t="shared" si="0"/>
        <v>0.76181818181818184</v>
      </c>
    </row>
    <row r="6" spans="1:7" ht="41.25" customHeight="1" x14ac:dyDescent="0.2">
      <c r="A6" s="108">
        <v>1206</v>
      </c>
      <c r="B6" s="110" t="s">
        <v>235</v>
      </c>
      <c r="C6" s="224">
        <f>'SGTO POAI 2024 ARMONIZADO'!AU69+'SGTO POAI 2024 ARMONIZADO'!AU70</f>
        <v>86000000</v>
      </c>
      <c r="D6" s="224">
        <f>'SGTO POAI 2024 ARMONIZADO'!AV69+'SGTO POAI 2024 ARMONIZADO'!AV70</f>
        <v>85806200</v>
      </c>
      <c r="E6" s="167">
        <f t="shared" si="1"/>
        <v>0.99774651162790695</v>
      </c>
      <c r="F6" s="224">
        <f>'SGTO POAI 2024 ARMONIZADO'!AW69+'SGTO POAI 2024 ARMONIZADO'!AW70</f>
        <v>45300000</v>
      </c>
      <c r="G6" s="167">
        <f t="shared" si="0"/>
        <v>0.52674418604651163</v>
      </c>
    </row>
    <row r="7" spans="1:7" ht="29.25" customHeight="1" x14ac:dyDescent="0.2">
      <c r="A7" s="11" t="s">
        <v>211</v>
      </c>
      <c r="B7" s="12" t="s">
        <v>212</v>
      </c>
      <c r="C7" s="223">
        <f>SUM(C8:C14)</f>
        <v>2165912654</v>
      </c>
      <c r="D7" s="223">
        <f>SUM(D8:D14)</f>
        <v>1538367739</v>
      </c>
      <c r="E7" s="168">
        <f t="shared" si="1"/>
        <v>0.71026305523399003</v>
      </c>
      <c r="F7" s="223">
        <f>SUM(F8:F14)</f>
        <v>1286850331</v>
      </c>
      <c r="G7" s="168">
        <f t="shared" si="0"/>
        <v>0.59413768538793532</v>
      </c>
    </row>
    <row r="8" spans="1:7" ht="36.75" customHeight="1" x14ac:dyDescent="0.2">
      <c r="A8" s="108">
        <v>1702</v>
      </c>
      <c r="B8" s="110" t="s">
        <v>432</v>
      </c>
      <c r="C8" s="224">
        <f>'SGTO POAI 2024 ARMONIZADO'!AU151+'SGTO POAI 2024 ARMONIZADO'!AU152+'SGTO POAI 2024 ARMONIZADO'!AU153+'SGTO POAI 2024 ARMONIZADO'!AU154+'SGTO POAI 2024 ARMONIZADO'!AU155+'SGTO POAI 2024 ARMONIZADO'!AU156+'SGTO POAI 2024 ARMONIZADO'!AU157+'SGTO POAI 2024 ARMONIZADO'!AU158+'SGTO POAI 2024 ARMONIZADO'!AU159+'SGTO POAI 2024 ARMONIZADO'!AU160+'SGTO POAI 2024 ARMONIZADO'!AU161+'SGTO POAI 2024 ARMONIZADO'!AU162+'SGTO POAI 2024 ARMONIZADO'!AU163+'SGTO POAI 2024 ARMONIZADO'!AU164+'SGTO POAI 2024 ARMONIZADO'!AU165+'SGTO POAI 2024 ARMONIZADO'!AU166+'SGTO POAI 2024 ARMONIZADO'!AU167+'SGTO POAI 2024 ARMONIZADO'!AU290+'SGTO POAI 2024 ARMONIZADO'!AU291</f>
        <v>1074000000</v>
      </c>
      <c r="D8" s="224">
        <f>'SGTO POAI 2024 ARMONIZADO'!AV151+'SGTO POAI 2024 ARMONIZADO'!AV152+'SGTO POAI 2024 ARMONIZADO'!AV153+'SGTO POAI 2024 ARMONIZADO'!AV154+'SGTO POAI 2024 ARMONIZADO'!AV155+'SGTO POAI 2024 ARMONIZADO'!AV156+'SGTO POAI 2024 ARMONIZADO'!AV157+'SGTO POAI 2024 ARMONIZADO'!AV158+'SGTO POAI 2024 ARMONIZADO'!AV159+'SGTO POAI 2024 ARMONIZADO'!AV160+'SGTO POAI 2024 ARMONIZADO'!AV161+'SGTO POAI 2024 ARMONIZADO'!AV162+'SGTO POAI 2024 ARMONIZADO'!AV163+'SGTO POAI 2024 ARMONIZADO'!AV164+'SGTO POAI 2024 ARMONIZADO'!AV165+'SGTO POAI 2024 ARMONIZADO'!AV166+'SGTO POAI 2024 ARMONIZADO'!AV167+'SGTO POAI 2024 ARMONIZADO'!AV290+'SGTO POAI 2024 ARMONIZADO'!AV291</f>
        <v>911075018</v>
      </c>
      <c r="E8" s="167">
        <f t="shared" si="1"/>
        <v>0.84830076163873369</v>
      </c>
      <c r="F8" s="224">
        <f>'SGTO POAI 2024 ARMONIZADO'!AW151+'SGTO POAI 2024 ARMONIZADO'!AW152+'SGTO POAI 2024 ARMONIZADO'!AW153+'SGTO POAI 2024 ARMONIZADO'!AW154+'SGTO POAI 2024 ARMONIZADO'!AW155+'SGTO POAI 2024 ARMONIZADO'!AW156+'SGTO POAI 2024 ARMONIZADO'!AW157+'SGTO POAI 2024 ARMONIZADO'!AW158+'SGTO POAI 2024 ARMONIZADO'!AW159+'SGTO POAI 2024 ARMONIZADO'!AW160+'SGTO POAI 2024 ARMONIZADO'!AW161+'SGTO POAI 2024 ARMONIZADO'!AW162+'SGTO POAI 2024 ARMONIZADO'!AW163+'SGTO POAI 2024 ARMONIZADO'!AW164+'SGTO POAI 2024 ARMONIZADO'!AW165+'SGTO POAI 2024 ARMONIZADO'!AW166+'SGTO POAI 2024 ARMONIZADO'!AW167+'SGTO POAI 2024 ARMONIZADO'!AW290+'SGTO POAI 2024 ARMONIZADO'!AW291</f>
        <v>830916665</v>
      </c>
      <c r="G8" s="167">
        <f t="shared" si="0"/>
        <v>0.77366542364990687</v>
      </c>
    </row>
    <row r="9" spans="1:7" ht="46.5" customHeight="1" x14ac:dyDescent="0.2">
      <c r="A9" s="108">
        <v>1703</v>
      </c>
      <c r="B9" s="110" t="s">
        <v>467</v>
      </c>
      <c r="C9" s="224">
        <f>'SGTO POAI 2024 ARMONIZADO'!AU168+'SGTO POAI 2024 ARMONIZADO'!AU169</f>
        <v>265712654</v>
      </c>
      <c r="D9" s="224">
        <f>'SGTO POAI 2024 ARMONIZADO'!AV168+'SGTO POAI 2024 ARMONIZADO'!AV169</f>
        <v>58100000</v>
      </c>
      <c r="E9" s="167">
        <f t="shared" si="1"/>
        <v>0.21865725672214317</v>
      </c>
      <c r="F9" s="224">
        <f>'SGTO POAI 2024 ARMONIZADO'!AW168+'SGTO POAI 2024 ARMONIZADO'!AW169</f>
        <v>41800000</v>
      </c>
      <c r="G9" s="167">
        <f t="shared" si="0"/>
        <v>0.15731279399286718</v>
      </c>
    </row>
    <row r="10" spans="1:7" ht="40.5" customHeight="1" x14ac:dyDescent="0.2">
      <c r="A10" s="108">
        <v>1704</v>
      </c>
      <c r="B10" s="110" t="s">
        <v>474</v>
      </c>
      <c r="C10" s="224">
        <f>'SGTO POAI 2024 ARMONIZADO'!AU215</f>
        <v>70000000</v>
      </c>
      <c r="D10" s="224">
        <f>'SGTO POAI 2024 ARMONIZADO'!AV215</f>
        <v>62813333</v>
      </c>
      <c r="E10" s="167">
        <f t="shared" si="1"/>
        <v>0.89733332857142856</v>
      </c>
      <c r="F10" s="224">
        <f>'SGTO POAI 2024 ARMONIZADO'!AW215</f>
        <v>39400000</v>
      </c>
      <c r="G10" s="167">
        <f t="shared" si="0"/>
        <v>0.56285714285714283</v>
      </c>
    </row>
    <row r="11" spans="1:7" ht="45" customHeight="1" x14ac:dyDescent="0.2">
      <c r="A11" s="108">
        <v>1706</v>
      </c>
      <c r="B11" s="110" t="s">
        <v>477</v>
      </c>
      <c r="C11" s="224">
        <f>'SGTO POAI 2024 ARMONIZADO'!AU170</f>
        <v>50000000</v>
      </c>
      <c r="D11" s="224">
        <f>'SGTO POAI 2024 ARMONIZADO'!AV170</f>
        <v>30000000</v>
      </c>
      <c r="E11" s="167">
        <f t="shared" si="1"/>
        <v>0.6</v>
      </c>
      <c r="F11" s="224">
        <f>'SGTO POAI 2024 ARMONIZADO'!AW170</f>
        <v>12907000</v>
      </c>
      <c r="G11" s="167">
        <f t="shared" si="0"/>
        <v>0.25813999999999998</v>
      </c>
    </row>
    <row r="12" spans="1:7" ht="39" customHeight="1" x14ac:dyDescent="0.2">
      <c r="A12" s="108">
        <v>1707</v>
      </c>
      <c r="B12" s="110" t="s">
        <v>485</v>
      </c>
      <c r="C12" s="224">
        <f>'SGTO POAI 2024 ARMONIZADO'!AU171+'SGTO POAI 2024 ARMONIZADO'!AU172</f>
        <v>143000000</v>
      </c>
      <c r="D12" s="224">
        <f>'SGTO POAI 2024 ARMONIZADO'!AV171+'SGTO POAI 2024 ARMONIZADO'!AV172</f>
        <v>142226666</v>
      </c>
      <c r="E12" s="167">
        <f t="shared" si="1"/>
        <v>0.99459206993006988</v>
      </c>
      <c r="F12" s="224">
        <f>'SGTO POAI 2024 ARMONIZADO'!AW171+'SGTO POAI 2024 ARMONIZADO'!AW172</f>
        <v>142226666</v>
      </c>
      <c r="G12" s="167">
        <f t="shared" si="0"/>
        <v>0.99459206993006988</v>
      </c>
    </row>
    <row r="13" spans="1:7" ht="42" customHeight="1" x14ac:dyDescent="0.2">
      <c r="A13" s="108">
        <v>1708</v>
      </c>
      <c r="B13" s="110" t="s">
        <v>487</v>
      </c>
      <c r="C13" s="224">
        <f>'SGTO POAI 2024 ARMONIZADO'!AU173+'SGTO POAI 2024 ARMONIZADO'!AU174+'SGTO POAI 2024 ARMONIZADO'!AU175+'SGTO POAI 2024 ARMONIZADO'!AU176+'SGTO POAI 2024 ARMONIZADO'!AU177</f>
        <v>445000000</v>
      </c>
      <c r="D13" s="224">
        <f>'SGTO POAI 2024 ARMONIZADO'!AV173+'SGTO POAI 2024 ARMONIZADO'!AV174+'SGTO POAI 2024 ARMONIZADO'!AV175+'SGTO POAI 2024 ARMONIZADO'!AV176+'SGTO POAI 2024 ARMONIZADO'!AV177</f>
        <v>286713331</v>
      </c>
      <c r="E13" s="167">
        <f t="shared" si="1"/>
        <v>0.64429962022471909</v>
      </c>
      <c r="F13" s="224">
        <f>'SGTO POAI 2024 ARMONIZADO'!AW173+'SGTO POAI 2024 ARMONIZADO'!AW174+'SGTO POAI 2024 ARMONIZADO'!AW175+'SGTO POAI 2024 ARMONIZADO'!AW176+'SGTO POAI 2024 ARMONIZADO'!AW177</f>
        <v>219600000</v>
      </c>
      <c r="G13" s="167">
        <f t="shared" si="0"/>
        <v>0.49348314606741572</v>
      </c>
    </row>
    <row r="14" spans="1:7" ht="42" customHeight="1" x14ac:dyDescent="0.2">
      <c r="A14" s="108" t="s">
        <v>213</v>
      </c>
      <c r="B14" s="110" t="s">
        <v>214</v>
      </c>
      <c r="C14" s="224">
        <f>'SGTO POAI 2024 ARMONIZADO'!AU63+'SGTO POAI 2024 ARMONIZADO'!AU178</f>
        <v>118200000</v>
      </c>
      <c r="D14" s="224">
        <f>'SGTO POAI 2024 ARMONIZADO'!AV63+'SGTO POAI 2024 ARMONIZADO'!AV178</f>
        <v>47439391</v>
      </c>
      <c r="E14" s="167">
        <f t="shared" si="1"/>
        <v>0.40134848561759728</v>
      </c>
      <c r="F14" s="224">
        <f>'SGTO POAI 2024 ARMONIZADO'!AW63+'SGTO POAI 2024 ARMONIZADO'!AW178</f>
        <v>0</v>
      </c>
      <c r="G14" s="167">
        <f t="shared" si="0"/>
        <v>0</v>
      </c>
    </row>
    <row r="15" spans="1:7" ht="33.75" customHeight="1" x14ac:dyDescent="0.2">
      <c r="A15" s="11">
        <v>19</v>
      </c>
      <c r="B15" s="12" t="s">
        <v>195</v>
      </c>
      <c r="C15" s="223">
        <f>SUM(C16:C18)</f>
        <v>77920310258.01001</v>
      </c>
      <c r="D15" s="223">
        <f>SUM(D16:D18)</f>
        <v>61779758100.029999</v>
      </c>
      <c r="E15" s="168">
        <f t="shared" si="1"/>
        <v>0.79285821495659659</v>
      </c>
      <c r="F15" s="223">
        <f>SUM(F16:F18)</f>
        <v>47833286077.729988</v>
      </c>
      <c r="G15" s="168">
        <f t="shared" si="0"/>
        <v>0.61387443041928658</v>
      </c>
    </row>
    <row r="16" spans="1:7" ht="28.5" customHeight="1" x14ac:dyDescent="0.2">
      <c r="A16" s="108">
        <v>1903</v>
      </c>
      <c r="B16" s="110" t="s">
        <v>196</v>
      </c>
      <c r="C16" s="224">
        <f>'SGTO POAI 2024 ARMONIZADO'!AU60+'SGTO POAI 2024 ARMONIZADO'!AU305+'SGTO POAI 2024 ARMONIZADO'!AU306+'SGTO POAI 2024 ARMONIZADO'!AU307+'SGTO POAI 2024 ARMONIZADO'!AU308+'SGTO POAI 2024 ARMONIZADO'!AU309+'SGTO POAI 2024 ARMONIZADO'!AU310+'SGTO POAI 2024 ARMONIZADO'!AU311+'SGTO POAI 2024 ARMONIZADO'!AU312+'SGTO POAI 2024 ARMONIZADO'!AU313+'SGTO POAI 2024 ARMONIZADO'!AU314+'SGTO POAI 2024 ARMONIZADO'!AU315+'SGTO POAI 2024 ARMONIZADO'!AU316+'SGTO POAI 2024 ARMONIZADO'!AU317+'SGTO POAI 2024 ARMONIZADO'!AU318+'SGTO POAI 2024 ARMONIZADO'!AU319+'SGTO POAI 2024 ARMONIZADO'!AU320+'SGTO POAI 2024 ARMONIZADO'!AU321+'SGTO POAI 2024 ARMONIZADO'!AU322+'SGTO POAI 2024 ARMONIZADO'!AU323+'SGTO POAI 2024 ARMONIZADO'!AU324+'SGTO POAI 2024 ARMONIZADO'!AU325+'SGTO POAI 2024 ARMONIZADO'!AU326+'SGTO POAI 2024 ARMONIZADO'!AU327+'SGTO POAI 2024 ARMONIZADO'!AU328+'SGTO POAI 2024 ARMONIZADO'!AU329+'SGTO POAI 2024 ARMONIZADO'!AU330+'SGTO POAI 2024 ARMONIZADO'!AU331+'SGTO POAI 2024 ARMONIZADO'!AU332+'SGTO POAI 2024 ARMONIZADO'!AU333+'SGTO POAI 2024 ARMONIZADO'!AU334+'SGTO POAI 2024 ARMONIZADO'!AU335+'SGTO POAI 2024 ARMONIZADO'!AU336+'SGTO POAI 2024 ARMONIZADO'!AU337+'SGTO POAI 2024 ARMONIZADO'!AU373+'SGTO POAI 2024 ARMONIZADO'!AU407+'SGTO POAI 2024 ARMONIZADO'!AU433+'SGTO POAI 2024 ARMONIZADO'!AU434</f>
        <v>3388546449</v>
      </c>
      <c r="D16" s="224">
        <f>'SGTO POAI 2024 ARMONIZADO'!AV60+'SGTO POAI 2024 ARMONIZADO'!AV305+'SGTO POAI 2024 ARMONIZADO'!AV306+'SGTO POAI 2024 ARMONIZADO'!AV307+'SGTO POAI 2024 ARMONIZADO'!AV308+'SGTO POAI 2024 ARMONIZADO'!AV309+'SGTO POAI 2024 ARMONIZADO'!AV310+'SGTO POAI 2024 ARMONIZADO'!AV311+'SGTO POAI 2024 ARMONIZADO'!AV312+'SGTO POAI 2024 ARMONIZADO'!AV313+'SGTO POAI 2024 ARMONIZADO'!AV314+'SGTO POAI 2024 ARMONIZADO'!AV315+'SGTO POAI 2024 ARMONIZADO'!AV316+'SGTO POAI 2024 ARMONIZADO'!AV317+'SGTO POAI 2024 ARMONIZADO'!AV318+'SGTO POAI 2024 ARMONIZADO'!AV319+'SGTO POAI 2024 ARMONIZADO'!AV320+'SGTO POAI 2024 ARMONIZADO'!AV321+'SGTO POAI 2024 ARMONIZADO'!AV322+'SGTO POAI 2024 ARMONIZADO'!AV323+'SGTO POAI 2024 ARMONIZADO'!AV324+'SGTO POAI 2024 ARMONIZADO'!AV325+'SGTO POAI 2024 ARMONIZADO'!AV326+'SGTO POAI 2024 ARMONIZADO'!AV327+'SGTO POAI 2024 ARMONIZADO'!AV328+'SGTO POAI 2024 ARMONIZADO'!AV329+'SGTO POAI 2024 ARMONIZADO'!AV330+'SGTO POAI 2024 ARMONIZADO'!AV331+'SGTO POAI 2024 ARMONIZADO'!AV332+'SGTO POAI 2024 ARMONIZADO'!AV333+'SGTO POAI 2024 ARMONIZADO'!AV334+'SGTO POAI 2024 ARMONIZADO'!AV335+'SGTO POAI 2024 ARMONIZADO'!AV336+'SGTO POAI 2024 ARMONIZADO'!AV337+'SGTO POAI 2024 ARMONIZADO'!AV373+'SGTO POAI 2024 ARMONIZADO'!AV407+'SGTO POAI 2024 ARMONIZADO'!AV433+'SGTO POAI 2024 ARMONIZADO'!AV434</f>
        <v>2396350917.8000002</v>
      </c>
      <c r="E16" s="167">
        <f t="shared" si="1"/>
        <v>0.70719140311834638</v>
      </c>
      <c r="F16" s="224">
        <f>'SGTO POAI 2024 ARMONIZADO'!AW60+'SGTO POAI 2024 ARMONIZADO'!AW305+'SGTO POAI 2024 ARMONIZADO'!AW306+'SGTO POAI 2024 ARMONIZADO'!AW307+'SGTO POAI 2024 ARMONIZADO'!AW308+'SGTO POAI 2024 ARMONIZADO'!AW309+'SGTO POAI 2024 ARMONIZADO'!AW310+'SGTO POAI 2024 ARMONIZADO'!AW311+'SGTO POAI 2024 ARMONIZADO'!AW312+'SGTO POAI 2024 ARMONIZADO'!AW313+'SGTO POAI 2024 ARMONIZADO'!AW314+'SGTO POAI 2024 ARMONIZADO'!AW315+'SGTO POAI 2024 ARMONIZADO'!AW316+'SGTO POAI 2024 ARMONIZADO'!AW317+'SGTO POAI 2024 ARMONIZADO'!AW318+'SGTO POAI 2024 ARMONIZADO'!AW319+'SGTO POAI 2024 ARMONIZADO'!AW320+'SGTO POAI 2024 ARMONIZADO'!AW321+'SGTO POAI 2024 ARMONIZADO'!AW322+'SGTO POAI 2024 ARMONIZADO'!AW323+'SGTO POAI 2024 ARMONIZADO'!AW324+'SGTO POAI 2024 ARMONIZADO'!AW325+'SGTO POAI 2024 ARMONIZADO'!AW326+'SGTO POAI 2024 ARMONIZADO'!AW327+'SGTO POAI 2024 ARMONIZADO'!AW328+'SGTO POAI 2024 ARMONIZADO'!AW329+'SGTO POAI 2024 ARMONIZADO'!AW330+'SGTO POAI 2024 ARMONIZADO'!AW331+'SGTO POAI 2024 ARMONIZADO'!AW332+'SGTO POAI 2024 ARMONIZADO'!AW333+'SGTO POAI 2024 ARMONIZADO'!AW334+'SGTO POAI 2024 ARMONIZADO'!AW335+'SGTO POAI 2024 ARMONIZADO'!AW336+'SGTO POAI 2024 ARMONIZADO'!AW337+'SGTO POAI 2024 ARMONIZADO'!AW373+'SGTO POAI 2024 ARMONIZADO'!AW407+'SGTO POAI 2024 ARMONIZADO'!AW433+'SGTO POAI 2024 ARMONIZADO'!AW434</f>
        <v>1801013818.55</v>
      </c>
      <c r="G16" s="167">
        <f t="shared" si="0"/>
        <v>0.53150040752178573</v>
      </c>
    </row>
    <row r="17" spans="1:7" ht="30.75" customHeight="1" x14ac:dyDescent="0.2">
      <c r="A17" s="108">
        <v>1905</v>
      </c>
      <c r="B17" s="110" t="s">
        <v>847</v>
      </c>
      <c r="C17" s="224">
        <f>'SGTO POAI 2024 ARMONIZADO'!AU251+'SGTO POAI 2024 ARMONIZADO'!AU252+'SGTO POAI 2024 ARMONIZADO'!AU253+'SGTO POAI 2024 ARMONIZADO'!AU254+'SGTO POAI 2024 ARMONIZADO'!AU338+'SGTO POAI 2024 ARMONIZADO'!AU339+'SGTO POAI 2024 ARMONIZADO'!AU340+'SGTO POAI 2024 ARMONIZADO'!AU341+'SGTO POAI 2024 ARMONIZADO'!AU342+'SGTO POAI 2024 ARMONIZADO'!AU343+'SGTO POAI 2024 ARMONIZADO'!AU344+'SGTO POAI 2024 ARMONIZADO'!AU345+'SGTO POAI 2024 ARMONIZADO'!AU346+'SGTO POAI 2024 ARMONIZADO'!AU347+'SGTO POAI 2024 ARMONIZADO'!AU348+'SGTO POAI 2024 ARMONIZADO'!AU349+'SGTO POAI 2024 ARMONIZADO'!AU350+'SGTO POAI 2024 ARMONIZADO'!AU351+'SGTO POAI 2024 ARMONIZADO'!AU352+'SGTO POAI 2024 ARMONIZADO'!AU353+'SGTO POAI 2024 ARMONIZADO'!AU354+'SGTO POAI 2024 ARMONIZADO'!AU355+'SGTO POAI 2024 ARMONIZADO'!AU356+'SGTO POAI 2024 ARMONIZADO'!AU357+'SGTO POAI 2024 ARMONIZADO'!AU358+'SGTO POAI 2024 ARMONIZADO'!AU359+'SGTO POAI 2024 ARMONIZADO'!AU360+'SGTO POAI 2024 ARMONIZADO'!AU361+'SGTO POAI 2024 ARMONIZADO'!AU362+'SGTO POAI 2024 ARMONIZADO'!AU363+'SGTO POAI 2024 ARMONIZADO'!AU364+'SGTO POAI 2024 ARMONIZADO'!AU365+'SGTO POAI 2024 ARMONIZADO'!AU366+'SGTO POAI 2024 ARMONIZADO'!AU367+'SGTO POAI 2024 ARMONIZADO'!AU368+'SGTO POAI 2024 ARMONIZADO'!AU369+'SGTO POAI 2024 ARMONIZADO'!AU370+'SGTO POAI 2024 ARMONIZADO'!AU371+'SGTO POAI 2024 ARMONIZADO'!AU372+'SGTO POAI 2024 ARMONIZADO'!AU374+'SGTO POAI 2024 ARMONIZADO'!AU375+'SGTO POAI 2024 ARMONIZADO'!AU376+'SGTO POAI 2024 ARMONIZADO'!AU377+'SGTO POAI 2024 ARMONIZADO'!AU378+'SGTO POAI 2024 ARMONIZADO'!AU379+'SGTO POAI 2024 ARMONIZADO'!AU380+'SGTO POAI 2024 ARMONIZADO'!AU381+'SGTO POAI 2024 ARMONIZADO'!AU382+'SGTO POAI 2024 ARMONIZADO'!AU383+'SGTO POAI 2024 ARMONIZADO'!AU384+'SGTO POAI 2024 ARMONIZADO'!AU385+'SGTO POAI 2024 ARMONIZADO'!AU386+'SGTO POAI 2024 ARMONIZADO'!AU387+'SGTO POAI 2024 ARMONIZADO'!AU388+'SGTO POAI 2024 ARMONIZADO'!AU389+'SGTO POAI 2024 ARMONIZADO'!AU390+'SGTO POAI 2024 ARMONIZADO'!AU391+'SGTO POAI 2024 ARMONIZADO'!AU392+'SGTO POAI 2024 ARMONIZADO'!AU408+'SGTO POAI 2024 ARMONIZADO'!AU409+'SGTO POAI 2024 ARMONIZADO'!AU410+'SGTO POAI 2024 ARMONIZADO'!AU411+'SGTO POAI 2024 ARMONIZADO'!AU412+'SGTO POAI 2024 ARMONIZADO'!AU413+'SGTO POAI 2024 ARMONIZADO'!AU414+'SGTO POAI 2024 ARMONIZADO'!AU415+'SGTO POAI 2024 ARMONIZADO'!AU416+'SGTO POAI 2024 ARMONIZADO'!AU417+'SGTO POAI 2024 ARMONIZADO'!AU418+'SGTO POAI 2024 ARMONIZADO'!AU419+'SGTO POAI 2024 ARMONIZADO'!AU420+'SGTO POAI 2024 ARMONIZADO'!AU421+'SGTO POAI 2024 ARMONIZADO'!AU422+'SGTO POAI 2024 ARMONIZADO'!AU423+'SGTO POAI 2024 ARMONIZADO'!AU424+'SGTO POAI 2024 ARMONIZADO'!AU425+'SGTO POAI 2024 ARMONIZADO'!AU426+'SGTO POAI 2024 ARMONIZADO'!AU427+'SGTO POAI 2024 ARMONIZADO'!AU428+'SGTO POAI 2024 ARMONIZADO'!AU429+'SGTO POAI 2024 ARMONIZADO'!AU432</f>
        <v>7738081711.7900009</v>
      </c>
      <c r="D17" s="224">
        <f>'SGTO POAI 2024 ARMONIZADO'!AV251+'SGTO POAI 2024 ARMONIZADO'!AV252+'SGTO POAI 2024 ARMONIZADO'!AV253+'SGTO POAI 2024 ARMONIZADO'!AV254+'SGTO POAI 2024 ARMONIZADO'!AV338+'SGTO POAI 2024 ARMONIZADO'!AV339+'SGTO POAI 2024 ARMONIZADO'!AV340+'SGTO POAI 2024 ARMONIZADO'!AV341+'SGTO POAI 2024 ARMONIZADO'!AV342+'SGTO POAI 2024 ARMONIZADO'!AV343+'SGTO POAI 2024 ARMONIZADO'!AV344+'SGTO POAI 2024 ARMONIZADO'!AV345+'SGTO POAI 2024 ARMONIZADO'!AV346+'SGTO POAI 2024 ARMONIZADO'!AV347+'SGTO POAI 2024 ARMONIZADO'!AV348+'SGTO POAI 2024 ARMONIZADO'!AV349+'SGTO POAI 2024 ARMONIZADO'!AV350+'SGTO POAI 2024 ARMONIZADO'!AV351+'SGTO POAI 2024 ARMONIZADO'!AV352+'SGTO POAI 2024 ARMONIZADO'!AV353+'SGTO POAI 2024 ARMONIZADO'!AV354+'SGTO POAI 2024 ARMONIZADO'!AV355+'SGTO POAI 2024 ARMONIZADO'!AV356+'SGTO POAI 2024 ARMONIZADO'!AV357+'SGTO POAI 2024 ARMONIZADO'!AV358+'SGTO POAI 2024 ARMONIZADO'!AV359+'SGTO POAI 2024 ARMONIZADO'!AV360+'SGTO POAI 2024 ARMONIZADO'!AV361+'SGTO POAI 2024 ARMONIZADO'!AV362+'SGTO POAI 2024 ARMONIZADO'!AV363+'SGTO POAI 2024 ARMONIZADO'!AV364+'SGTO POAI 2024 ARMONIZADO'!AV365+'SGTO POAI 2024 ARMONIZADO'!AV366+'SGTO POAI 2024 ARMONIZADO'!AV367+'SGTO POAI 2024 ARMONIZADO'!AV368+'SGTO POAI 2024 ARMONIZADO'!AV369+'SGTO POAI 2024 ARMONIZADO'!AV370+'SGTO POAI 2024 ARMONIZADO'!AV371+'SGTO POAI 2024 ARMONIZADO'!AV372+'SGTO POAI 2024 ARMONIZADO'!AV374+'SGTO POAI 2024 ARMONIZADO'!AV375+'SGTO POAI 2024 ARMONIZADO'!AV376+'SGTO POAI 2024 ARMONIZADO'!AV377+'SGTO POAI 2024 ARMONIZADO'!AV378+'SGTO POAI 2024 ARMONIZADO'!AV379+'SGTO POAI 2024 ARMONIZADO'!AV380+'SGTO POAI 2024 ARMONIZADO'!AV381+'SGTO POAI 2024 ARMONIZADO'!AV382+'SGTO POAI 2024 ARMONIZADO'!AV383+'SGTO POAI 2024 ARMONIZADO'!AV384+'SGTO POAI 2024 ARMONIZADO'!AV385+'SGTO POAI 2024 ARMONIZADO'!AV386+'SGTO POAI 2024 ARMONIZADO'!AV387+'SGTO POAI 2024 ARMONIZADO'!AV388+'SGTO POAI 2024 ARMONIZADO'!AV389+'SGTO POAI 2024 ARMONIZADO'!AV390+'SGTO POAI 2024 ARMONIZADO'!AV391+'SGTO POAI 2024 ARMONIZADO'!AV392+'SGTO POAI 2024 ARMONIZADO'!AV408+'SGTO POAI 2024 ARMONIZADO'!AV409+'SGTO POAI 2024 ARMONIZADO'!AV410+'SGTO POAI 2024 ARMONIZADO'!AV411+'SGTO POAI 2024 ARMONIZADO'!AV412+'SGTO POAI 2024 ARMONIZADO'!AV413+'SGTO POAI 2024 ARMONIZADO'!AV414+'SGTO POAI 2024 ARMONIZADO'!AV415+'SGTO POAI 2024 ARMONIZADO'!AV416+'SGTO POAI 2024 ARMONIZADO'!AV417+'SGTO POAI 2024 ARMONIZADO'!AV418+'SGTO POAI 2024 ARMONIZADO'!AV419+'SGTO POAI 2024 ARMONIZADO'!AV420+'SGTO POAI 2024 ARMONIZADO'!AV421+'SGTO POAI 2024 ARMONIZADO'!AV422+'SGTO POAI 2024 ARMONIZADO'!AV423+'SGTO POAI 2024 ARMONIZADO'!AV424+'SGTO POAI 2024 ARMONIZADO'!AV425+'SGTO POAI 2024 ARMONIZADO'!AV426+'SGTO POAI 2024 ARMONIZADO'!AV427+'SGTO POAI 2024 ARMONIZADO'!AV428+'SGTO POAI 2024 ARMONIZADO'!AV429+'SGTO POAI 2024 ARMONIZADO'!AV432</f>
        <v>5283592959</v>
      </c>
      <c r="E17" s="167">
        <f t="shared" si="1"/>
        <v>0.68280397594532249</v>
      </c>
      <c r="F17" s="224">
        <f>'SGTO POAI 2024 ARMONIZADO'!AW251+'SGTO POAI 2024 ARMONIZADO'!AW252+'SGTO POAI 2024 ARMONIZADO'!AW253+'SGTO POAI 2024 ARMONIZADO'!AW254+'SGTO POAI 2024 ARMONIZADO'!AW338+'SGTO POAI 2024 ARMONIZADO'!AW339+'SGTO POAI 2024 ARMONIZADO'!AW340+'SGTO POAI 2024 ARMONIZADO'!AW341+'SGTO POAI 2024 ARMONIZADO'!AW342+'SGTO POAI 2024 ARMONIZADO'!AW343+'SGTO POAI 2024 ARMONIZADO'!AW344+'SGTO POAI 2024 ARMONIZADO'!AW345+'SGTO POAI 2024 ARMONIZADO'!AW346+'SGTO POAI 2024 ARMONIZADO'!AW347+'SGTO POAI 2024 ARMONIZADO'!AW348+'SGTO POAI 2024 ARMONIZADO'!AW349+'SGTO POAI 2024 ARMONIZADO'!AW350+'SGTO POAI 2024 ARMONIZADO'!AW351+'SGTO POAI 2024 ARMONIZADO'!AW352+'SGTO POAI 2024 ARMONIZADO'!AW353+'SGTO POAI 2024 ARMONIZADO'!AW354+'SGTO POAI 2024 ARMONIZADO'!AW355+'SGTO POAI 2024 ARMONIZADO'!AW356+'SGTO POAI 2024 ARMONIZADO'!AW357+'SGTO POAI 2024 ARMONIZADO'!AW358+'SGTO POAI 2024 ARMONIZADO'!AW359+'SGTO POAI 2024 ARMONIZADO'!AW360+'SGTO POAI 2024 ARMONIZADO'!AW361+'SGTO POAI 2024 ARMONIZADO'!AW362+'SGTO POAI 2024 ARMONIZADO'!AW363+'SGTO POAI 2024 ARMONIZADO'!AW364+'SGTO POAI 2024 ARMONIZADO'!AW365+'SGTO POAI 2024 ARMONIZADO'!AW366+'SGTO POAI 2024 ARMONIZADO'!AW367+'SGTO POAI 2024 ARMONIZADO'!AW368+'SGTO POAI 2024 ARMONIZADO'!AW369+'SGTO POAI 2024 ARMONIZADO'!AW370+'SGTO POAI 2024 ARMONIZADO'!AW371+'SGTO POAI 2024 ARMONIZADO'!AW372+'SGTO POAI 2024 ARMONIZADO'!AW374+'SGTO POAI 2024 ARMONIZADO'!AW375+'SGTO POAI 2024 ARMONIZADO'!AW376+'SGTO POAI 2024 ARMONIZADO'!AW377+'SGTO POAI 2024 ARMONIZADO'!AW378+'SGTO POAI 2024 ARMONIZADO'!AW379+'SGTO POAI 2024 ARMONIZADO'!AW380+'SGTO POAI 2024 ARMONIZADO'!AW381+'SGTO POAI 2024 ARMONIZADO'!AW382+'SGTO POAI 2024 ARMONIZADO'!AW383+'SGTO POAI 2024 ARMONIZADO'!AW384+'SGTO POAI 2024 ARMONIZADO'!AW385+'SGTO POAI 2024 ARMONIZADO'!AW386+'SGTO POAI 2024 ARMONIZADO'!AW387+'SGTO POAI 2024 ARMONIZADO'!AW388+'SGTO POAI 2024 ARMONIZADO'!AW389+'SGTO POAI 2024 ARMONIZADO'!AW390+'SGTO POAI 2024 ARMONIZADO'!AW391+'SGTO POAI 2024 ARMONIZADO'!AW392+'SGTO POAI 2024 ARMONIZADO'!AW408+'SGTO POAI 2024 ARMONIZADO'!AW409+'SGTO POAI 2024 ARMONIZADO'!AW410+'SGTO POAI 2024 ARMONIZADO'!AW411+'SGTO POAI 2024 ARMONIZADO'!AW412+'SGTO POAI 2024 ARMONIZADO'!AW413+'SGTO POAI 2024 ARMONIZADO'!AW414+'SGTO POAI 2024 ARMONIZADO'!AW415+'SGTO POAI 2024 ARMONIZADO'!AW416+'SGTO POAI 2024 ARMONIZADO'!AW417+'SGTO POAI 2024 ARMONIZADO'!AW418+'SGTO POAI 2024 ARMONIZADO'!AW419+'SGTO POAI 2024 ARMONIZADO'!AW420+'SGTO POAI 2024 ARMONIZADO'!AW421+'SGTO POAI 2024 ARMONIZADO'!AW422+'SGTO POAI 2024 ARMONIZADO'!AW423+'SGTO POAI 2024 ARMONIZADO'!AW424+'SGTO POAI 2024 ARMONIZADO'!AW425+'SGTO POAI 2024 ARMONIZADO'!AW426+'SGTO POAI 2024 ARMONIZADO'!AW427+'SGTO POAI 2024 ARMONIZADO'!AW428+'SGTO POAI 2024 ARMONIZADO'!AW429+'SGTO POAI 2024 ARMONIZADO'!AW432</f>
        <v>3079043698.98</v>
      </c>
      <c r="G17" s="167">
        <f t="shared" si="0"/>
        <v>0.39790788126321613</v>
      </c>
    </row>
    <row r="18" spans="1:7" ht="34.5" customHeight="1" x14ac:dyDescent="0.2">
      <c r="A18" s="108">
        <v>1906</v>
      </c>
      <c r="B18" s="110" t="s">
        <v>924</v>
      </c>
      <c r="C18" s="224">
        <f>'SGTO POAI 2024 ARMONIZADO'!AU393+'SGTO POAI 2024 ARMONIZADO'!AU394+'SGTO POAI 2024 ARMONIZADO'!AU395+'SGTO POAI 2024 ARMONIZADO'!AU396+'SGTO POAI 2024 ARMONIZADO'!AU397+'SGTO POAI 2024 ARMONIZADO'!AU398+'SGTO POAI 2024 ARMONIZADO'!AU399+'SGTO POAI 2024 ARMONIZADO'!AU400+'SGTO POAI 2024 ARMONIZADO'!AU401+'SGTO POAI 2024 ARMONIZADO'!AU402+'SGTO POAI 2024 ARMONIZADO'!AU403+'SGTO POAI 2024 ARMONIZADO'!AU404+'SGTO POAI 2024 ARMONIZADO'!AU405+'SGTO POAI 2024 ARMONIZADO'!AU406+'SGTO POAI 2024 ARMONIZADO'!AU430+'SGTO POAI 2024 ARMONIZADO'!AU431</f>
        <v>66793682097.220001</v>
      </c>
      <c r="D18" s="224">
        <f>'SGTO POAI 2024 ARMONIZADO'!AV393+'SGTO POAI 2024 ARMONIZADO'!AV394+'SGTO POAI 2024 ARMONIZADO'!AV395+'SGTO POAI 2024 ARMONIZADO'!AV396+'SGTO POAI 2024 ARMONIZADO'!AV397+'SGTO POAI 2024 ARMONIZADO'!AV398+'SGTO POAI 2024 ARMONIZADO'!AV399+'SGTO POAI 2024 ARMONIZADO'!AV400+'SGTO POAI 2024 ARMONIZADO'!AV401+'SGTO POAI 2024 ARMONIZADO'!AV402+'SGTO POAI 2024 ARMONIZADO'!AV403+'SGTO POAI 2024 ARMONIZADO'!AV404+'SGTO POAI 2024 ARMONIZADO'!AV405+'SGTO POAI 2024 ARMONIZADO'!AV406+'SGTO POAI 2024 ARMONIZADO'!AV430+'SGTO POAI 2024 ARMONIZADO'!AV431</f>
        <v>54099814223.229996</v>
      </c>
      <c r="E18" s="167">
        <f t="shared" si="1"/>
        <v>0.80995406338710685</v>
      </c>
      <c r="F18" s="224">
        <f>'SGTO POAI 2024 ARMONIZADO'!AW393+'SGTO POAI 2024 ARMONIZADO'!AW394+'SGTO POAI 2024 ARMONIZADO'!AW395+'SGTO POAI 2024 ARMONIZADO'!AW396+'SGTO POAI 2024 ARMONIZADO'!AW397+'SGTO POAI 2024 ARMONIZADO'!AW398+'SGTO POAI 2024 ARMONIZADO'!AW399+'SGTO POAI 2024 ARMONIZADO'!AW400+'SGTO POAI 2024 ARMONIZADO'!AW401+'SGTO POAI 2024 ARMONIZADO'!AW402+'SGTO POAI 2024 ARMONIZADO'!AW403+'SGTO POAI 2024 ARMONIZADO'!AW404+'SGTO POAI 2024 ARMONIZADO'!AW405+'SGTO POAI 2024 ARMONIZADO'!AW406+'SGTO POAI 2024 ARMONIZADO'!AW430+'SGTO POAI 2024 ARMONIZADO'!AW431</f>
        <v>42953228560.199989</v>
      </c>
      <c r="G18" s="167">
        <f t="shared" si="0"/>
        <v>0.64307322506461628</v>
      </c>
    </row>
    <row r="19" spans="1:7" ht="33.75" customHeight="1" x14ac:dyDescent="0.2">
      <c r="A19" s="11">
        <v>22</v>
      </c>
      <c r="B19" s="12" t="s">
        <v>113</v>
      </c>
      <c r="C19" s="223">
        <f>SUM(C20:C21)</f>
        <v>282798020194.21997</v>
      </c>
      <c r="D19" s="223">
        <f>SUM(D20:D21)</f>
        <v>210703849683.28003</v>
      </c>
      <c r="E19" s="168">
        <f t="shared" si="1"/>
        <v>0.74506833371242442</v>
      </c>
      <c r="F19" s="223">
        <f>SUM(F20:F21)</f>
        <v>203043722909.06006</v>
      </c>
      <c r="G19" s="168">
        <f t="shared" si="0"/>
        <v>0.71798141574546293</v>
      </c>
    </row>
    <row r="20" spans="1:7" ht="55.5" customHeight="1" x14ac:dyDescent="0.2">
      <c r="A20" s="108">
        <v>2201</v>
      </c>
      <c r="B20" s="110" t="s">
        <v>114</v>
      </c>
      <c r="C20" s="224">
        <f>'SGTO POAI 2024 ARMONIZADO'!AU40+'SGTO POAI 2024 ARMONIZADO'!AU41+'SGTO POAI 2024 ARMONIZADO'!AU42+'SGTO POAI 2024 ARMONIZADO'!AU71+'SGTO POAI 2024 ARMONIZADO'!AU72+'SGTO POAI 2024 ARMONIZADO'!AU222+'SGTO POAI 2024 ARMONIZADO'!AU223+'SGTO POAI 2024 ARMONIZADO'!AU224+'SGTO POAI 2024 ARMONIZADO'!AU225+'SGTO POAI 2024 ARMONIZADO'!AU226+'SGTO POAI 2024 ARMONIZADO'!AU227+'SGTO POAI 2024 ARMONIZADO'!AU228+'SGTO POAI 2024 ARMONIZADO'!AU229+'SGTO POAI 2024 ARMONIZADO'!AU230+'SGTO POAI 2024 ARMONIZADO'!AU231+'SGTO POAI 2024 ARMONIZADO'!AU232+'SGTO POAI 2024 ARMONIZADO'!AU233+'SGTO POAI 2024 ARMONIZADO'!AU234+'SGTO POAI 2024 ARMONIZADO'!AU235+'SGTO POAI 2024 ARMONIZADO'!AU236+'SGTO POAI 2024 ARMONIZADO'!AU237+'SGTO POAI 2024 ARMONIZADO'!AU238+'SGTO POAI 2024 ARMONIZADO'!AU239+'SGTO POAI 2024 ARMONIZADO'!AU240+'SGTO POAI 2024 ARMONIZADO'!AU241+'SGTO POAI 2024 ARMONIZADO'!AU242+'SGTO POAI 2024 ARMONIZADO'!AU243+'SGTO POAI 2024 ARMONIZADO'!AU244+'SGTO POAI 2024 ARMONIZADO'!AU245+'SGTO POAI 2024 ARMONIZADO'!AU246+'SGTO POAI 2024 ARMONIZADO'!AU247+'SGTO POAI 2024 ARMONIZADO'!AU250+'SGTO POAI 2024 ARMONIZADO'!AU472+'SGTO POAI 2024 ARMONIZADO'!AU473+'SGTO POAI 2024 ARMONIZADO'!AU474</f>
        <v>282548020194.21997</v>
      </c>
      <c r="D20" s="224">
        <f>'SGTO POAI 2024 ARMONIZADO'!AV40+'SGTO POAI 2024 ARMONIZADO'!AV41+'SGTO POAI 2024 ARMONIZADO'!AV42+'SGTO POAI 2024 ARMONIZADO'!AV71+'SGTO POAI 2024 ARMONIZADO'!AV72+'SGTO POAI 2024 ARMONIZADO'!AV222+'SGTO POAI 2024 ARMONIZADO'!AV223+'SGTO POAI 2024 ARMONIZADO'!AV224+'SGTO POAI 2024 ARMONIZADO'!AV225+'SGTO POAI 2024 ARMONIZADO'!AV226+'SGTO POAI 2024 ARMONIZADO'!AV227+'SGTO POAI 2024 ARMONIZADO'!AV228+'SGTO POAI 2024 ARMONIZADO'!AV229+'SGTO POAI 2024 ARMONIZADO'!AV230+'SGTO POAI 2024 ARMONIZADO'!AV231+'SGTO POAI 2024 ARMONIZADO'!AV232+'SGTO POAI 2024 ARMONIZADO'!AV233+'SGTO POAI 2024 ARMONIZADO'!AV234+'SGTO POAI 2024 ARMONIZADO'!AV235+'SGTO POAI 2024 ARMONIZADO'!AV236+'SGTO POAI 2024 ARMONIZADO'!AV237+'SGTO POAI 2024 ARMONIZADO'!AV238+'SGTO POAI 2024 ARMONIZADO'!AV239+'SGTO POAI 2024 ARMONIZADO'!AV240+'SGTO POAI 2024 ARMONIZADO'!AV241+'SGTO POAI 2024 ARMONIZADO'!AV242+'SGTO POAI 2024 ARMONIZADO'!AV243+'SGTO POAI 2024 ARMONIZADO'!AV244+'SGTO POAI 2024 ARMONIZADO'!AV245+'SGTO POAI 2024 ARMONIZADO'!AV246+'SGTO POAI 2024 ARMONIZADO'!AV247+'SGTO POAI 2024 ARMONIZADO'!AV250+'SGTO POAI 2024 ARMONIZADO'!AV472+'SGTO POAI 2024 ARMONIZADO'!AV473+'SGTO POAI 2024 ARMONIZADO'!AV474</f>
        <v>210486788652.28003</v>
      </c>
      <c r="E20" s="167">
        <f t="shared" si="1"/>
        <v>0.7449593471141438</v>
      </c>
      <c r="F20" s="224">
        <f>'SGTO POAI 2024 ARMONIZADO'!AW40+'SGTO POAI 2024 ARMONIZADO'!AW41+'SGTO POAI 2024 ARMONIZADO'!AW42+'SGTO POAI 2024 ARMONIZADO'!AW71+'SGTO POAI 2024 ARMONIZADO'!AW72+'SGTO POAI 2024 ARMONIZADO'!AW222+'SGTO POAI 2024 ARMONIZADO'!AW223+'SGTO POAI 2024 ARMONIZADO'!AW224+'SGTO POAI 2024 ARMONIZADO'!AW225+'SGTO POAI 2024 ARMONIZADO'!AW226+'SGTO POAI 2024 ARMONIZADO'!AW227+'SGTO POAI 2024 ARMONIZADO'!AW228+'SGTO POAI 2024 ARMONIZADO'!AW229+'SGTO POAI 2024 ARMONIZADO'!AW230+'SGTO POAI 2024 ARMONIZADO'!AW231+'SGTO POAI 2024 ARMONIZADO'!AW232+'SGTO POAI 2024 ARMONIZADO'!AW233+'SGTO POAI 2024 ARMONIZADO'!AW234+'SGTO POAI 2024 ARMONIZADO'!AW235+'SGTO POAI 2024 ARMONIZADO'!AW236+'SGTO POAI 2024 ARMONIZADO'!AW237+'SGTO POAI 2024 ARMONIZADO'!AW238+'SGTO POAI 2024 ARMONIZADO'!AW239+'SGTO POAI 2024 ARMONIZADO'!AW240+'SGTO POAI 2024 ARMONIZADO'!AW241+'SGTO POAI 2024 ARMONIZADO'!AW242+'SGTO POAI 2024 ARMONIZADO'!AW243+'SGTO POAI 2024 ARMONIZADO'!AW244+'SGTO POAI 2024 ARMONIZADO'!AW245+'SGTO POAI 2024 ARMONIZADO'!AW246+'SGTO POAI 2024 ARMONIZADO'!AW247+'SGTO POAI 2024 ARMONIZADO'!AW250+'SGTO POAI 2024 ARMONIZADO'!AW472+'SGTO POAI 2024 ARMONIZADO'!AW473+'SGTO POAI 2024 ARMONIZADO'!AW474</f>
        <v>202870673380.06006</v>
      </c>
      <c r="G20" s="167">
        <f t="shared" si="0"/>
        <v>0.71800422894702742</v>
      </c>
    </row>
    <row r="21" spans="1:7" ht="39.75" customHeight="1" x14ac:dyDescent="0.2">
      <c r="A21" s="108">
        <v>2202</v>
      </c>
      <c r="B21" s="110" t="s">
        <v>667</v>
      </c>
      <c r="C21" s="224">
        <f>'SGTO POAI 2024 ARMONIZADO'!AU248+'SGTO POAI 2024 ARMONIZADO'!AU249</f>
        <v>250000000</v>
      </c>
      <c r="D21" s="224">
        <f>'SGTO POAI 2024 ARMONIZADO'!AV248+'SGTO POAI 2024 ARMONIZADO'!AV249</f>
        <v>217061031</v>
      </c>
      <c r="E21" s="167">
        <f t="shared" si="1"/>
        <v>0.86824412399999995</v>
      </c>
      <c r="F21" s="224">
        <f>'SGTO POAI 2024 ARMONIZADO'!AW248+'SGTO POAI 2024 ARMONIZADO'!AW249</f>
        <v>173049529</v>
      </c>
      <c r="G21" s="167">
        <f t="shared" si="0"/>
        <v>0.69219811600000003</v>
      </c>
    </row>
    <row r="22" spans="1:7" ht="27.75" customHeight="1" x14ac:dyDescent="0.2">
      <c r="A22" s="11">
        <v>23</v>
      </c>
      <c r="B22" s="12" t="s">
        <v>989</v>
      </c>
      <c r="C22" s="223">
        <f>SUM(C23:C24)</f>
        <v>22283486868.779999</v>
      </c>
      <c r="D22" s="223">
        <f>SUM(D23:D24)</f>
        <v>1223924319</v>
      </c>
      <c r="E22" s="168">
        <f t="shared" si="1"/>
        <v>5.4925170652478268E-2</v>
      </c>
      <c r="F22" s="223">
        <f>SUM(F23:F24)</f>
        <v>974718332</v>
      </c>
      <c r="G22" s="168">
        <f t="shared" si="0"/>
        <v>4.3741732958571082E-2</v>
      </c>
    </row>
    <row r="23" spans="1:7" ht="54" customHeight="1" x14ac:dyDescent="0.2">
      <c r="A23" s="108" t="s">
        <v>990</v>
      </c>
      <c r="B23" s="110" t="s">
        <v>981</v>
      </c>
      <c r="C23" s="224">
        <f>'SGTO POAI 2024 ARMONIZADO'!AU435+'SGTO POAI 2024 ARMONIZADO'!AU436+'SGTO POAI 2024 ARMONIZADO'!AU437+'SGTO POAI 2024 ARMONIZADO'!AU438+'SGTO POAI 2024 ARMONIZADO'!AU439+'SGTO POAI 2024 ARMONIZADO'!AU440+'SGTO POAI 2024 ARMONIZADO'!AU441+'SGTO POAI 2024 ARMONIZADO'!AU442+'SGTO POAI 2024 ARMONIZADO'!AU443+'SGTO POAI 2024 ARMONIZADO'!AU444+'SGTO POAI 2024 ARMONIZADO'!AU445+'SGTO POAI 2024 ARMONIZADO'!AU446</f>
        <v>21848486868.779999</v>
      </c>
      <c r="D23" s="224">
        <f>'SGTO POAI 2024 ARMONIZADO'!AV435+'SGTO POAI 2024 ARMONIZADO'!AV436+'SGTO POAI 2024 ARMONIZADO'!AV437+'SGTO POAI 2024 ARMONIZADO'!AV438+'SGTO POAI 2024 ARMONIZADO'!AV439+'SGTO POAI 2024 ARMONIZADO'!AV440+'SGTO POAI 2024 ARMONIZADO'!AV441+'SGTO POAI 2024 ARMONIZADO'!AV442+'SGTO POAI 2024 ARMONIZADO'!AV443+'SGTO POAI 2024 ARMONIZADO'!AV444+'SGTO POAI 2024 ARMONIZADO'!AV445+'SGTO POAI 2024 ARMONIZADO'!AV446</f>
        <v>818902976</v>
      </c>
      <c r="E23" s="167">
        <f t="shared" si="1"/>
        <v>3.7480992661791911E-2</v>
      </c>
      <c r="F23" s="224">
        <f>'SGTO POAI 2024 ARMONIZADO'!AW435+'SGTO POAI 2024 ARMONIZADO'!AW436+'SGTO POAI 2024 ARMONIZADO'!AW437+'SGTO POAI 2024 ARMONIZADO'!AW438+'SGTO POAI 2024 ARMONIZADO'!AW439+'SGTO POAI 2024 ARMONIZADO'!AW440+'SGTO POAI 2024 ARMONIZADO'!AW441+'SGTO POAI 2024 ARMONIZADO'!AW442+'SGTO POAI 2024 ARMONIZADO'!AW443+'SGTO POAI 2024 ARMONIZADO'!AW444+'SGTO POAI 2024 ARMONIZADO'!AW445+'SGTO POAI 2024 ARMONIZADO'!AW446</f>
        <v>643676989</v>
      </c>
      <c r="G23" s="167">
        <f t="shared" si="0"/>
        <v>2.9460941293823446E-2</v>
      </c>
    </row>
    <row r="24" spans="1:7" ht="75" customHeight="1" x14ac:dyDescent="0.2">
      <c r="A24" s="108">
        <v>2302</v>
      </c>
      <c r="B24" s="110" t="s">
        <v>1007</v>
      </c>
      <c r="C24" s="224">
        <f>'SGTO POAI 2024 ARMONIZADO'!AU447+'SGTO POAI 2024 ARMONIZADO'!AU448+'SGTO POAI 2024 ARMONIZADO'!AU449+'SGTO POAI 2024 ARMONIZADO'!AU450+'SGTO POAI 2024 ARMONIZADO'!AU451+'SGTO POAI 2024 ARMONIZADO'!AU452+'SGTO POAI 2024 ARMONIZADO'!AU453+'SGTO POAI 2024 ARMONIZADO'!AU454+'SGTO POAI 2024 ARMONIZADO'!AU455+'SGTO POAI 2024 ARMONIZADO'!AU456+'SGTO POAI 2024 ARMONIZADO'!AU457</f>
        <v>435000000</v>
      </c>
      <c r="D24" s="224">
        <f>'SGTO POAI 2024 ARMONIZADO'!AV447+'SGTO POAI 2024 ARMONIZADO'!AV448+'SGTO POAI 2024 ARMONIZADO'!AV449+'SGTO POAI 2024 ARMONIZADO'!AV450+'SGTO POAI 2024 ARMONIZADO'!AV451+'SGTO POAI 2024 ARMONIZADO'!AV452+'SGTO POAI 2024 ARMONIZADO'!AV453+'SGTO POAI 2024 ARMONIZADO'!AV454+'SGTO POAI 2024 ARMONIZADO'!AV455+'SGTO POAI 2024 ARMONIZADO'!AV456+'SGTO POAI 2024 ARMONIZADO'!AV457</f>
        <v>405021343</v>
      </c>
      <c r="E24" s="167">
        <f t="shared" si="1"/>
        <v>0.93108354712643682</v>
      </c>
      <c r="F24" s="224">
        <f>'SGTO POAI 2024 ARMONIZADO'!AW447+'SGTO POAI 2024 ARMONIZADO'!AW448+'SGTO POAI 2024 ARMONIZADO'!AW449+'SGTO POAI 2024 ARMONIZADO'!AW450+'SGTO POAI 2024 ARMONIZADO'!AW451+'SGTO POAI 2024 ARMONIZADO'!AW452+'SGTO POAI 2024 ARMONIZADO'!AW453+'SGTO POAI 2024 ARMONIZADO'!AW454+'SGTO POAI 2024 ARMONIZADO'!AW455+'SGTO POAI 2024 ARMONIZADO'!AW456+'SGTO POAI 2024 ARMONIZADO'!AW457</f>
        <v>331041343</v>
      </c>
      <c r="G24" s="167">
        <f t="shared" si="0"/>
        <v>0.76101458160919544</v>
      </c>
    </row>
    <row r="25" spans="1:7" ht="31.5" customHeight="1" x14ac:dyDescent="0.2">
      <c r="A25" s="11" t="s">
        <v>153</v>
      </c>
      <c r="B25" s="12" t="s">
        <v>148</v>
      </c>
      <c r="C25" s="223">
        <f>SUM(C26:C27)</f>
        <v>23242084969.159996</v>
      </c>
      <c r="D25" s="223">
        <f>SUM(D26:D27)</f>
        <v>10594307005.040001</v>
      </c>
      <c r="E25" s="168">
        <f t="shared" si="1"/>
        <v>0.45582429541487451</v>
      </c>
      <c r="F25" s="223">
        <f>SUM(F26:F27)</f>
        <v>6795040530.1899996</v>
      </c>
      <c r="G25" s="168">
        <f t="shared" si="0"/>
        <v>0.29235933605811881</v>
      </c>
    </row>
    <row r="26" spans="1:7" ht="36.75" customHeight="1" x14ac:dyDescent="0.2">
      <c r="A26" s="108" t="s">
        <v>154</v>
      </c>
      <c r="B26" s="110" t="s">
        <v>155</v>
      </c>
      <c r="C26" s="224">
        <f>'SGTO POAI 2024 ARMONIZADO'!AU48+'SGTO POAI 2024 ARMONIZADO'!AU49+'SGTO POAI 2024 ARMONIZADO'!AU50+'SGTO POAI 2024 ARMONIZADO'!AU475+'SGTO POAI 2024 ARMONIZADO'!AU476+'SGTO POAI 2024 ARMONIZADO'!AU477</f>
        <v>22851967527.499996</v>
      </c>
      <c r="D26" s="224">
        <f>'SGTO POAI 2024 ARMONIZADO'!AV48+'SGTO POAI 2024 ARMONIZADO'!AV49+'SGTO POAI 2024 ARMONIZADO'!AV50+'SGTO POAI 2024 ARMONIZADO'!AV475+'SGTO POAI 2024 ARMONIZADO'!AV476+'SGTO POAI 2024 ARMONIZADO'!AV477</f>
        <v>10245847007.040001</v>
      </c>
      <c r="E26" s="167">
        <f t="shared" si="1"/>
        <v>0.44835732392452321</v>
      </c>
      <c r="F26" s="224">
        <f>'SGTO POAI 2024 ARMONIZADO'!AW48+'SGTO POAI 2024 ARMONIZADO'!AW49+'SGTO POAI 2024 ARMONIZADO'!AW50+'SGTO POAI 2024 ARMONIZADO'!AW475+'SGTO POAI 2024 ARMONIZADO'!AW476+'SGTO POAI 2024 ARMONIZADO'!AW477</f>
        <v>6604670160.1899996</v>
      </c>
      <c r="G26" s="167">
        <f t="shared" si="0"/>
        <v>0.28901975955645648</v>
      </c>
    </row>
    <row r="27" spans="1:7" ht="36.75" customHeight="1" x14ac:dyDescent="0.2">
      <c r="A27" s="108">
        <v>2409</v>
      </c>
      <c r="B27" s="110" t="s">
        <v>1095</v>
      </c>
      <c r="C27" s="224">
        <f>'SGTO POAI 2024 ARMONIZADO'!AU490+'SGTO POAI 2024 ARMONIZADO'!AU491+'SGTO POAI 2024 ARMONIZADO'!AU492+'SGTO POAI 2024 ARMONIZADO'!AU493+'SGTO POAI 2024 ARMONIZADO'!AU494+'SGTO POAI 2024 ARMONIZADO'!AU495+'SGTO POAI 2024 ARMONIZADO'!AU496+'SGTO POAI 2024 ARMONIZADO'!AU497</f>
        <v>390117441.65999997</v>
      </c>
      <c r="D27" s="224">
        <f>'SGTO POAI 2024 ARMONIZADO'!AV490+'SGTO POAI 2024 ARMONIZADO'!AV491+'SGTO POAI 2024 ARMONIZADO'!AV492+'SGTO POAI 2024 ARMONIZADO'!AV493+'SGTO POAI 2024 ARMONIZADO'!AV494+'SGTO POAI 2024 ARMONIZADO'!AV495+'SGTO POAI 2024 ARMONIZADO'!AV496+'SGTO POAI 2024 ARMONIZADO'!AV497</f>
        <v>348459998</v>
      </c>
      <c r="E27" s="167">
        <f t="shared" si="1"/>
        <v>0.89321819736451114</v>
      </c>
      <c r="F27" s="224">
        <f>'SGTO POAI 2024 ARMONIZADO'!AW490+'SGTO POAI 2024 ARMONIZADO'!AW491+'SGTO POAI 2024 ARMONIZADO'!AW492+'SGTO POAI 2024 ARMONIZADO'!AW493+'SGTO POAI 2024 ARMONIZADO'!AW494+'SGTO POAI 2024 ARMONIZADO'!AW495+'SGTO POAI 2024 ARMONIZADO'!AW496+'SGTO POAI 2024 ARMONIZADO'!AW497</f>
        <v>190370370</v>
      </c>
      <c r="G27" s="167">
        <f t="shared" si="0"/>
        <v>0.48798220656310459</v>
      </c>
    </row>
    <row r="28" spans="1:7" ht="27.75" customHeight="1" x14ac:dyDescent="0.2">
      <c r="A28" s="11">
        <v>32</v>
      </c>
      <c r="B28" s="12" t="s">
        <v>160</v>
      </c>
      <c r="C28" s="223">
        <f>SUM(C29:C34)</f>
        <v>4764994707.3199997</v>
      </c>
      <c r="D28" s="223">
        <f>SUM(D29:D34)</f>
        <v>1934385564.95</v>
      </c>
      <c r="E28" s="168">
        <f t="shared" si="1"/>
        <v>0.40595754744037615</v>
      </c>
      <c r="F28" s="223">
        <f>SUM(F29:F34)</f>
        <v>1180869996</v>
      </c>
      <c r="G28" s="168">
        <f t="shared" si="0"/>
        <v>0.24782189037606775</v>
      </c>
    </row>
    <row r="29" spans="1:7" ht="52.5" customHeight="1" x14ac:dyDescent="0.2">
      <c r="A29" s="108">
        <v>3201</v>
      </c>
      <c r="B29" s="110" t="s">
        <v>508</v>
      </c>
      <c r="C29" s="225">
        <f>'SGTO POAI 2024 ARMONIZADO'!AU183+'SGTO POAI 2024 ARMONIZADO'!AU184+'SGTO POAI 2024 ARMONIZADO'!AU185+'SGTO POAI 2024 ARMONIZADO'!AU186+'SGTO POAI 2024 ARMONIZADO'!AU197</f>
        <v>131920001</v>
      </c>
      <c r="D29" s="225">
        <f>'SGTO POAI 2024 ARMONIZADO'!AV183+'SGTO POAI 2024 ARMONIZADO'!AV184+'SGTO POAI 2024 ARMONIZADO'!AV185+'SGTO POAI 2024 ARMONIZADO'!AV186+'SGTO POAI 2024 ARMONIZADO'!AV197</f>
        <v>67416666</v>
      </c>
      <c r="E29" s="169">
        <f t="shared" si="1"/>
        <v>0.51104203675680693</v>
      </c>
      <c r="F29" s="225">
        <f>'SGTO POAI 2024 ARMONIZADO'!AW183+'SGTO POAI 2024 ARMONIZADO'!AW184+'SGTO POAI 2024 ARMONIZADO'!AW185+'SGTO POAI 2024 ARMONIZADO'!AW186+'SGTO POAI 2024 ARMONIZADO'!AW197</f>
        <v>52816666</v>
      </c>
      <c r="G29" s="169">
        <f t="shared" si="0"/>
        <v>0.40036890236227335</v>
      </c>
    </row>
    <row r="30" spans="1:7" ht="39.75" customHeight="1" x14ac:dyDescent="0.2">
      <c r="A30" s="108" t="s">
        <v>527</v>
      </c>
      <c r="B30" s="110" t="s">
        <v>521</v>
      </c>
      <c r="C30" s="225">
        <f>'SGTO POAI 2024 ARMONIZADO'!AU187+'SGTO POAI 2024 ARMONIZADO'!AU188+'SGTO POAI 2024 ARMONIZADO'!AU189+'SGTO POAI 2024 ARMONIZADO'!AU190+'SGTO POAI 2024 ARMONIZADO'!AU191+'SGTO POAI 2024 ARMONIZADO'!AU192+'SGTO POAI 2024 ARMONIZADO'!AU193+'SGTO POAI 2024 ARMONIZADO'!AU194+'SGTO POAI 2024 ARMONIZADO'!AU195</f>
        <v>3388994705.3699999</v>
      </c>
      <c r="D30" s="225">
        <f>'SGTO POAI 2024 ARMONIZADO'!AV187+'SGTO POAI 2024 ARMONIZADO'!AV188+'SGTO POAI 2024 ARMONIZADO'!AV189+'SGTO POAI 2024 ARMONIZADO'!AV190+'SGTO POAI 2024 ARMONIZADO'!AV191+'SGTO POAI 2024 ARMONIZADO'!AV192+'SGTO POAI 2024 ARMONIZADO'!AV193+'SGTO POAI 2024 ARMONIZADO'!AV194+'SGTO POAI 2024 ARMONIZADO'!AV195</f>
        <v>791906663</v>
      </c>
      <c r="E30" s="169">
        <f t="shared" si="1"/>
        <v>0.23367007972753445</v>
      </c>
      <c r="F30" s="225">
        <f>'SGTO POAI 2024 ARMONIZADO'!AW187+'SGTO POAI 2024 ARMONIZADO'!AW188+'SGTO POAI 2024 ARMONIZADO'!AW189+'SGTO POAI 2024 ARMONIZADO'!AW190+'SGTO POAI 2024 ARMONIZADO'!AW191+'SGTO POAI 2024 ARMONIZADO'!AW192+'SGTO POAI 2024 ARMONIZADO'!AW193+'SGTO POAI 2024 ARMONIZADO'!AW194+'SGTO POAI 2024 ARMONIZADO'!AW195</f>
        <v>530453331</v>
      </c>
      <c r="G30" s="169">
        <f t="shared" si="0"/>
        <v>0.15652232508934733</v>
      </c>
    </row>
    <row r="31" spans="1:7" ht="33" customHeight="1" x14ac:dyDescent="0.2">
      <c r="A31" s="108" t="s">
        <v>547</v>
      </c>
      <c r="B31" s="110" t="s">
        <v>548</v>
      </c>
      <c r="C31" s="225">
        <f>'SGTO POAI 2024 ARMONIZADO'!AU196</f>
        <v>52250000</v>
      </c>
      <c r="D31" s="225">
        <f>'SGTO POAI 2024 ARMONIZADO'!AV196</f>
        <v>52250000</v>
      </c>
      <c r="E31" s="169">
        <f t="shared" si="1"/>
        <v>1</v>
      </c>
      <c r="F31" s="225">
        <f>'SGTO POAI 2024 ARMONIZADO'!AW196</f>
        <v>52250000</v>
      </c>
      <c r="G31" s="169">
        <f t="shared" si="0"/>
        <v>1</v>
      </c>
    </row>
    <row r="32" spans="1:7" ht="36.75" customHeight="1" x14ac:dyDescent="0.2">
      <c r="A32" s="108">
        <v>3205</v>
      </c>
      <c r="B32" s="110" t="s">
        <v>560</v>
      </c>
      <c r="C32" s="225">
        <f>'SGTO POAI 2024 ARMONIZADO'!AU51+'SGTO POAI 2024 ARMONIZADO'!AU52+'SGTO POAI 2024 ARMONIZADO'!AU88+'SGTO POAI 2024 ARMONIZADO'!AU198+'SGTO POAI 2024 ARMONIZADO'!AU199+'SGTO POAI 2024 ARMONIZADO'!AU200+'SGTO POAI 2024 ARMONIZADO'!AU201</f>
        <v>740000000</v>
      </c>
      <c r="D32" s="225">
        <f>'SGTO POAI 2024 ARMONIZADO'!AV51+'SGTO POAI 2024 ARMONIZADO'!AV52+'SGTO POAI 2024 ARMONIZADO'!AV88+'SGTO POAI 2024 ARMONIZADO'!AV198+'SGTO POAI 2024 ARMONIZADO'!AV199+'SGTO POAI 2024 ARMONIZADO'!AV200+'SGTO POAI 2024 ARMONIZADO'!AV201</f>
        <v>607732237</v>
      </c>
      <c r="E32" s="169">
        <f t="shared" si="1"/>
        <v>0.82125977972972974</v>
      </c>
      <c r="F32" s="225">
        <f>'SGTO POAI 2024 ARMONIZADO'!AW51+'SGTO POAI 2024 ARMONIZADO'!AW52+'SGTO POAI 2024 ARMONIZADO'!AW88+'SGTO POAI 2024 ARMONIZADO'!AW198+'SGTO POAI 2024 ARMONIZADO'!AW199+'SGTO POAI 2024 ARMONIZADO'!AW200+'SGTO POAI 2024 ARMONIZADO'!AW201</f>
        <v>259400000</v>
      </c>
      <c r="G32" s="169">
        <f t="shared" si="0"/>
        <v>0.35054054054054051</v>
      </c>
    </row>
    <row r="33" spans="1:7" ht="41.25" customHeight="1" x14ac:dyDescent="0.2">
      <c r="A33" s="108" t="s">
        <v>564</v>
      </c>
      <c r="B33" s="110" t="s">
        <v>565</v>
      </c>
      <c r="C33" s="225">
        <f>'SGTO POAI 2024 ARMONIZADO'!AU202+'SGTO POAI 2024 ARMONIZADO'!AU203+'SGTO POAI 2024 ARMONIZADO'!AU204+'SGTO POAI 2024 ARMONIZADO'!AU205+'SGTO POAI 2024 ARMONIZADO'!AU206+'SGTO POAI 2024 ARMONIZADO'!AU207+'SGTO POAI 2024 ARMONIZADO'!AU208</f>
        <v>407329999.94999999</v>
      </c>
      <c r="D33" s="225">
        <f>'SGTO POAI 2024 ARMONIZADO'!AV202+'SGTO POAI 2024 ARMONIZADO'!AV203+'SGTO POAI 2024 ARMONIZADO'!AV204+'SGTO POAI 2024 ARMONIZADO'!AV205+'SGTO POAI 2024 ARMONIZADO'!AV206+'SGTO POAI 2024 ARMONIZADO'!AV207+'SGTO POAI 2024 ARMONIZADO'!AV208</f>
        <v>374906665.94999999</v>
      </c>
      <c r="E33" s="169">
        <f t="shared" si="1"/>
        <v>0.92040032896182455</v>
      </c>
      <c r="F33" s="225">
        <f>'SGTO POAI 2024 ARMONIZADO'!AW202+'SGTO POAI 2024 ARMONIZADO'!AW203+'SGTO POAI 2024 ARMONIZADO'!AW204+'SGTO POAI 2024 ARMONIZADO'!AW205+'SGTO POAI 2024 ARMONIZADO'!AW206+'SGTO POAI 2024 ARMONIZADO'!AW207+'SGTO POAI 2024 ARMONIZADO'!AW208</f>
        <v>263549999</v>
      </c>
      <c r="G33" s="169">
        <f t="shared" si="0"/>
        <v>0.64701838566359204</v>
      </c>
    </row>
    <row r="34" spans="1:7" ht="34.5" customHeight="1" x14ac:dyDescent="0.2">
      <c r="A34" s="108">
        <v>3208</v>
      </c>
      <c r="B34" s="110" t="s">
        <v>585</v>
      </c>
      <c r="C34" s="225">
        <f>'SGTO POAI 2024 ARMONIZADO'!AU209</f>
        <v>44500001</v>
      </c>
      <c r="D34" s="225">
        <f>'SGTO POAI 2024 ARMONIZADO'!AV209</f>
        <v>40173333</v>
      </c>
      <c r="E34" s="169">
        <f t="shared" si="1"/>
        <v>0.90277150780288751</v>
      </c>
      <c r="F34" s="225">
        <f>'SGTO POAI 2024 ARMONIZADO'!AW209</f>
        <v>22400000</v>
      </c>
      <c r="G34" s="169">
        <f t="shared" si="0"/>
        <v>0.50337077520515117</v>
      </c>
    </row>
    <row r="35" spans="1:7" ht="30.75" customHeight="1" x14ac:dyDescent="0.2">
      <c r="A35" s="11">
        <v>33</v>
      </c>
      <c r="B35" s="12" t="s">
        <v>123</v>
      </c>
      <c r="C35" s="223">
        <f>SUM(C36:C37)</f>
        <v>6223437914.3900003</v>
      </c>
      <c r="D35" s="223">
        <f>SUM(D36:D37)</f>
        <v>4486244928.8999996</v>
      </c>
      <c r="E35" s="168">
        <f t="shared" si="1"/>
        <v>0.72086280776205436</v>
      </c>
      <c r="F35" s="223">
        <f>SUM(F36:F37)</f>
        <v>2902105852.8499999</v>
      </c>
      <c r="G35" s="168">
        <f t="shared" ref="G35:G61" si="2">F35/C35</f>
        <v>0.46631876026909064</v>
      </c>
    </row>
    <row r="36" spans="1:7" ht="44.25" customHeight="1" x14ac:dyDescent="0.2">
      <c r="A36" s="108">
        <v>3301</v>
      </c>
      <c r="B36" s="111" t="s">
        <v>124</v>
      </c>
      <c r="C36" s="224">
        <f>'SGTO POAI 2024 ARMONIZADO'!AU43+'SGTO POAI 2024 ARMONIZADO'!AU106+'SGTO POAI 2024 ARMONIZADO'!AU107+'SGTO POAI 2024 ARMONIZADO'!AU108+'SGTO POAI 2024 ARMONIZADO'!AU109+'SGTO POAI 2024 ARMONIZADO'!AU110+'SGTO POAI 2024 ARMONIZADO'!AU111+'SGTO POAI 2024 ARMONIZADO'!AU112+'SGTO POAI 2024 ARMONIZADO'!AU113+'SGTO POAI 2024 ARMONIZADO'!AU114+'SGTO POAI 2024 ARMONIZADO'!AU115+'SGTO POAI 2024 ARMONIZADO'!AU116+'SGTO POAI 2024 ARMONIZADO'!AU117+'SGTO POAI 2024 ARMONIZADO'!AU118+'SGTO POAI 2024 ARMONIZADO'!AU119+'SGTO POAI 2024 ARMONIZADO'!AU120+'SGTO POAI 2024 ARMONIZADO'!AU121+'SGTO POAI 2024 ARMONIZADO'!AU122+'SGTO POAI 2024 ARMONIZADO'!AU123+'SGTO POAI 2024 ARMONIZADO'!AU124+'SGTO POAI 2024 ARMONIZADO'!AU125</f>
        <v>5922277089.0900002</v>
      </c>
      <c r="D36" s="224">
        <f>'SGTO POAI 2024 ARMONIZADO'!AV43+'SGTO POAI 2024 ARMONIZADO'!AV106+'SGTO POAI 2024 ARMONIZADO'!AV107+'SGTO POAI 2024 ARMONIZADO'!AV108+'SGTO POAI 2024 ARMONIZADO'!AV109+'SGTO POAI 2024 ARMONIZADO'!AV110+'SGTO POAI 2024 ARMONIZADO'!AV111+'SGTO POAI 2024 ARMONIZADO'!AV112+'SGTO POAI 2024 ARMONIZADO'!AV113+'SGTO POAI 2024 ARMONIZADO'!AV114+'SGTO POAI 2024 ARMONIZADO'!AV115+'SGTO POAI 2024 ARMONIZADO'!AV116+'SGTO POAI 2024 ARMONIZADO'!AV117+'SGTO POAI 2024 ARMONIZADO'!AV118+'SGTO POAI 2024 ARMONIZADO'!AV119+'SGTO POAI 2024 ARMONIZADO'!AV120+'SGTO POAI 2024 ARMONIZADO'!AV121+'SGTO POAI 2024 ARMONIZADO'!AV122+'SGTO POAI 2024 ARMONIZADO'!AV123+'SGTO POAI 2024 ARMONIZADO'!AV124+'SGTO POAI 2024 ARMONIZADO'!AV125</f>
        <v>4326094928.8999996</v>
      </c>
      <c r="E36" s="167">
        <f t="shared" si="1"/>
        <v>0.73047830485161147</v>
      </c>
      <c r="F36" s="224">
        <f>'SGTO POAI 2024 ARMONIZADO'!AW43+'SGTO POAI 2024 ARMONIZADO'!AW106+'SGTO POAI 2024 ARMONIZADO'!AW107+'SGTO POAI 2024 ARMONIZADO'!AW108+'SGTO POAI 2024 ARMONIZADO'!AW109+'SGTO POAI 2024 ARMONIZADO'!AW110+'SGTO POAI 2024 ARMONIZADO'!AW111+'SGTO POAI 2024 ARMONIZADO'!AW112+'SGTO POAI 2024 ARMONIZADO'!AW113+'SGTO POAI 2024 ARMONIZADO'!AW114+'SGTO POAI 2024 ARMONIZADO'!AW115+'SGTO POAI 2024 ARMONIZADO'!AW116+'SGTO POAI 2024 ARMONIZADO'!AW117+'SGTO POAI 2024 ARMONIZADO'!AW118+'SGTO POAI 2024 ARMONIZADO'!AW119+'SGTO POAI 2024 ARMONIZADO'!AW120+'SGTO POAI 2024 ARMONIZADO'!AW121+'SGTO POAI 2024 ARMONIZADO'!AW122+'SGTO POAI 2024 ARMONIZADO'!AW123+'SGTO POAI 2024 ARMONIZADO'!AW124+'SGTO POAI 2024 ARMONIZADO'!AW125</f>
        <v>2810105855.6999998</v>
      </c>
      <c r="G36" s="167">
        <f t="shared" si="2"/>
        <v>0.47449753083603058</v>
      </c>
    </row>
    <row r="37" spans="1:7" ht="42.75" customHeight="1" x14ac:dyDescent="0.2">
      <c r="A37" s="108">
        <v>3302</v>
      </c>
      <c r="B37" s="17" t="s">
        <v>366</v>
      </c>
      <c r="C37" s="224">
        <f>'SGTO POAI 2024 ARMONIZADO'!AU126+'SGTO POAI 2024 ARMONIZADO'!AU127+'SGTO POAI 2024 ARMONIZADO'!AU128+'SGTO POAI 2024 ARMONIZADO'!AU129+'SGTO POAI 2024 ARMONIZADO'!AU130+'SGTO POAI 2024 ARMONIZADO'!AU131</f>
        <v>301160825.30000001</v>
      </c>
      <c r="D37" s="224">
        <f>'SGTO POAI 2024 ARMONIZADO'!AV126+'SGTO POAI 2024 ARMONIZADO'!AV127+'SGTO POAI 2024 ARMONIZADO'!AV128+'SGTO POAI 2024 ARMONIZADO'!AV129+'SGTO POAI 2024 ARMONIZADO'!AV130+'SGTO POAI 2024 ARMONIZADO'!AV131</f>
        <v>160150000</v>
      </c>
      <c r="E37" s="167">
        <f t="shared" si="1"/>
        <v>0.53177567115665625</v>
      </c>
      <c r="F37" s="224">
        <f>'SGTO POAI 2024 ARMONIZADO'!AW126+'SGTO POAI 2024 ARMONIZADO'!AW127+'SGTO POAI 2024 ARMONIZADO'!AW128+'SGTO POAI 2024 ARMONIZADO'!AW129+'SGTO POAI 2024 ARMONIZADO'!AW130+'SGTO POAI 2024 ARMONIZADO'!AW131</f>
        <v>91999997.150000006</v>
      </c>
      <c r="G37" s="167">
        <f t="shared" si="2"/>
        <v>0.30548460962130325</v>
      </c>
    </row>
    <row r="38" spans="1:7" ht="30.75" customHeight="1" x14ac:dyDescent="0.2">
      <c r="A38" s="11">
        <v>35</v>
      </c>
      <c r="B38" s="12" t="s">
        <v>383</v>
      </c>
      <c r="C38" s="223">
        <f>C39</f>
        <v>7969268879.0200005</v>
      </c>
      <c r="D38" s="223">
        <f>D39</f>
        <v>7641053158</v>
      </c>
      <c r="E38" s="168">
        <f t="shared" si="1"/>
        <v>0.95881482655403116</v>
      </c>
      <c r="F38" s="223">
        <f>F39</f>
        <v>7283450169.6700001</v>
      </c>
      <c r="G38" s="168">
        <f t="shared" si="2"/>
        <v>0.9139420792846511</v>
      </c>
    </row>
    <row r="39" spans="1:7" ht="42.75" customHeight="1" x14ac:dyDescent="0.2">
      <c r="A39" s="108">
        <v>3502</v>
      </c>
      <c r="B39" s="17" t="s">
        <v>384</v>
      </c>
      <c r="C39" s="224">
        <f>'SGTO POAI 2024 ARMONIZADO'!AU132+'SGTO POAI 2024 ARMONIZADO'!AU133+'SGTO POAI 2024 ARMONIZADO'!AU134+'SGTO POAI 2024 ARMONIZADO'!AU135+'SGTO POAI 2024 ARMONIZADO'!AU136+'SGTO POAI 2024 ARMONIZADO'!AU137+'SGTO POAI 2024 ARMONIZADO'!AU138+'SGTO POAI 2024 ARMONIZADO'!AU139+'SGTO POAI 2024 ARMONIZADO'!AU140+'SGTO POAI 2024 ARMONIZADO'!AU141+'SGTO POAI 2024 ARMONIZADO'!AU142+'SGTO POAI 2024 ARMONIZADO'!AU143+'SGTO POAI 2024 ARMONIZADO'!AU179+'SGTO POAI 2024 ARMONIZADO'!AU180+'SGTO POAI 2024 ARMONIZADO'!AU181+'SGTO POAI 2024 ARMONIZADO'!AU182</f>
        <v>7969268879.0200005</v>
      </c>
      <c r="D39" s="224">
        <f>'SGTO POAI 2024 ARMONIZADO'!AV132+'SGTO POAI 2024 ARMONIZADO'!AV133+'SGTO POAI 2024 ARMONIZADO'!AV134+'SGTO POAI 2024 ARMONIZADO'!AV135+'SGTO POAI 2024 ARMONIZADO'!AV136+'SGTO POAI 2024 ARMONIZADO'!AV137+'SGTO POAI 2024 ARMONIZADO'!AV138+'SGTO POAI 2024 ARMONIZADO'!AV139+'SGTO POAI 2024 ARMONIZADO'!AV140+'SGTO POAI 2024 ARMONIZADO'!AV141+'SGTO POAI 2024 ARMONIZADO'!AV142+'SGTO POAI 2024 ARMONIZADO'!AV143+'SGTO POAI 2024 ARMONIZADO'!AV179+'SGTO POAI 2024 ARMONIZADO'!AV180+'SGTO POAI 2024 ARMONIZADO'!AV181+'SGTO POAI 2024 ARMONIZADO'!AV182</f>
        <v>7641053158</v>
      </c>
      <c r="E39" s="167">
        <f t="shared" si="1"/>
        <v>0.95881482655403116</v>
      </c>
      <c r="F39" s="224">
        <f>'SGTO POAI 2024 ARMONIZADO'!AW132+'SGTO POAI 2024 ARMONIZADO'!AW133+'SGTO POAI 2024 ARMONIZADO'!AW134+'SGTO POAI 2024 ARMONIZADO'!AW135+'SGTO POAI 2024 ARMONIZADO'!AW136+'SGTO POAI 2024 ARMONIZADO'!AW137+'SGTO POAI 2024 ARMONIZADO'!AW138+'SGTO POAI 2024 ARMONIZADO'!AW139+'SGTO POAI 2024 ARMONIZADO'!AW140+'SGTO POAI 2024 ARMONIZADO'!AW141+'SGTO POAI 2024 ARMONIZADO'!AW142+'SGTO POAI 2024 ARMONIZADO'!AW143+'SGTO POAI 2024 ARMONIZADO'!AW179+'SGTO POAI 2024 ARMONIZADO'!AW180+'SGTO POAI 2024 ARMONIZADO'!AW181+'SGTO POAI 2024 ARMONIZADO'!AW182</f>
        <v>7283450169.6700001</v>
      </c>
      <c r="G39" s="167">
        <f t="shared" si="2"/>
        <v>0.9139420792846511</v>
      </c>
    </row>
    <row r="40" spans="1:7" ht="29.25" customHeight="1" x14ac:dyDescent="0.2">
      <c r="A40" s="11">
        <v>36</v>
      </c>
      <c r="B40" s="12" t="s">
        <v>411</v>
      </c>
      <c r="C40" s="223">
        <f>C41</f>
        <v>732350000</v>
      </c>
      <c r="D40" s="223">
        <f>D41</f>
        <v>393367089</v>
      </c>
      <c r="E40" s="168">
        <f t="shared" si="1"/>
        <v>0.53712990919642245</v>
      </c>
      <c r="F40" s="223">
        <f>F41</f>
        <v>307700424</v>
      </c>
      <c r="G40" s="168">
        <f t="shared" si="2"/>
        <v>0.42015487676657337</v>
      </c>
    </row>
    <row r="41" spans="1:7" ht="37.5" customHeight="1" x14ac:dyDescent="0.2">
      <c r="A41" s="108">
        <v>3602</v>
      </c>
      <c r="B41" s="17" t="s">
        <v>412</v>
      </c>
      <c r="C41" s="224">
        <f>'SGTO POAI 2024 ARMONIZADO'!AU144+'SGTO POAI 2024 ARMONIZADO'!AU145+'SGTO POAI 2024 ARMONIZADO'!AU146+'SGTO POAI 2024 ARMONIZADO'!AU147+'SGTO POAI 2024 ARMONIZADO'!AU148</f>
        <v>732350000</v>
      </c>
      <c r="D41" s="224">
        <f>'SGTO POAI 2024 ARMONIZADO'!AV144+'SGTO POAI 2024 ARMONIZADO'!AV145+'SGTO POAI 2024 ARMONIZADO'!AV146+'SGTO POAI 2024 ARMONIZADO'!AV147+'SGTO POAI 2024 ARMONIZADO'!AV148</f>
        <v>393367089</v>
      </c>
      <c r="E41" s="167">
        <f t="shared" si="1"/>
        <v>0.53712990919642245</v>
      </c>
      <c r="F41" s="224">
        <f>'SGTO POAI 2024 ARMONIZADO'!AW144+'SGTO POAI 2024 ARMONIZADO'!AW145+'SGTO POAI 2024 ARMONIZADO'!AW146+'SGTO POAI 2024 ARMONIZADO'!AW147+'SGTO POAI 2024 ARMONIZADO'!AW148</f>
        <v>307700424</v>
      </c>
      <c r="G41" s="167">
        <f t="shared" si="2"/>
        <v>0.42015487676657337</v>
      </c>
    </row>
    <row r="42" spans="1:7" ht="29.25" customHeight="1" x14ac:dyDescent="0.2">
      <c r="A42" s="11">
        <v>39</v>
      </c>
      <c r="B42" s="12" t="s">
        <v>425</v>
      </c>
      <c r="C42" s="223">
        <f>C43</f>
        <v>30000000</v>
      </c>
      <c r="D42" s="223">
        <f>D43</f>
        <v>6800000</v>
      </c>
      <c r="E42" s="168">
        <f t="shared" si="1"/>
        <v>0.22666666666666666</v>
      </c>
      <c r="F42" s="223">
        <f>F43</f>
        <v>3400000</v>
      </c>
      <c r="G42" s="168">
        <f t="shared" si="2"/>
        <v>0.11333333333333333</v>
      </c>
    </row>
    <row r="43" spans="1:7" ht="61.5" customHeight="1" x14ac:dyDescent="0.2">
      <c r="A43" s="108">
        <v>3906</v>
      </c>
      <c r="B43" s="17" t="s">
        <v>426</v>
      </c>
      <c r="C43" s="224">
        <f>'SGTO POAI 2024 ARMONIZADO'!AU149</f>
        <v>30000000</v>
      </c>
      <c r="D43" s="224">
        <f>'SGTO POAI 2024 ARMONIZADO'!AV149</f>
        <v>6800000</v>
      </c>
      <c r="E43" s="167">
        <f t="shared" si="1"/>
        <v>0.22666666666666666</v>
      </c>
      <c r="F43" s="224">
        <f>'SGTO POAI 2024 ARMONIZADO'!AW149</f>
        <v>3400000</v>
      </c>
      <c r="G43" s="167">
        <f t="shared" si="2"/>
        <v>0.11333333333333333</v>
      </c>
    </row>
    <row r="44" spans="1:7" ht="42" customHeight="1" x14ac:dyDescent="0.2">
      <c r="A44" s="11" t="s">
        <v>183</v>
      </c>
      <c r="B44" s="12" t="s">
        <v>169</v>
      </c>
      <c r="C44" s="223">
        <f>SUM(C45:C47)</f>
        <v>9805852415.7099991</v>
      </c>
      <c r="D44" s="223">
        <f>SUM(D45:D47)</f>
        <v>5882868574.7799997</v>
      </c>
      <c r="E44" s="168">
        <f t="shared" si="1"/>
        <v>0.59993443969797366</v>
      </c>
      <c r="F44" s="223">
        <f>SUM(F45:F47)</f>
        <v>4222365322</v>
      </c>
      <c r="G44" s="168">
        <f t="shared" si="2"/>
        <v>0.43059645842061933</v>
      </c>
    </row>
    <row r="45" spans="1:7" ht="34.5" customHeight="1" x14ac:dyDescent="0.2">
      <c r="A45" s="108" t="s">
        <v>1075</v>
      </c>
      <c r="B45" s="17" t="s">
        <v>170</v>
      </c>
      <c r="C45" s="224">
        <f>'SGTO POAI 2024 ARMONIZADO'!AU478+'SGTO POAI 2024 ARMONIZADO'!AU479+'SGTO POAI 2024 ARMONIZADO'!AU480+'SGTO POAI 2024 ARMONIZADO'!AU481+'SGTO POAI 2024 ARMONIZADO'!AU482+'SGTO POAI 2024 ARMONIZADO'!AU483+'SGTO POAI 2024 ARMONIZADO'!AU484</f>
        <v>1226000000</v>
      </c>
      <c r="D45" s="224">
        <f>'SGTO POAI 2024 ARMONIZADO'!AV478+'SGTO POAI 2024 ARMONIZADO'!AV479+'SGTO POAI 2024 ARMONIZADO'!AV480+'SGTO POAI 2024 ARMONIZADO'!AV481+'SGTO POAI 2024 ARMONIZADO'!AV482+'SGTO POAI 2024 ARMONIZADO'!AV483+'SGTO POAI 2024 ARMONIZADO'!AV484</f>
        <v>346125000</v>
      </c>
      <c r="E45" s="167">
        <f t="shared" si="1"/>
        <v>0.28232055464926592</v>
      </c>
      <c r="F45" s="224">
        <f>'SGTO POAI 2024 ARMONIZADO'!AW478+'SGTO POAI 2024 ARMONIZADO'!AW479+'SGTO POAI 2024 ARMONIZADO'!AW480+'SGTO POAI 2024 ARMONIZADO'!AW481+'SGTO POAI 2024 ARMONIZADO'!AW482+'SGTO POAI 2024 ARMONIZADO'!AW483+'SGTO POAI 2024 ARMONIZADO'!AW484</f>
        <v>235060000</v>
      </c>
      <c r="G45" s="167">
        <f t="shared" si="2"/>
        <v>0.19172920065252855</v>
      </c>
    </row>
    <row r="46" spans="1:7" ht="34.5" customHeight="1" x14ac:dyDescent="0.2">
      <c r="A46" s="108" t="s">
        <v>219</v>
      </c>
      <c r="B46" s="17" t="s">
        <v>220</v>
      </c>
      <c r="C46" s="224">
        <f>'SGTO POAI 2024 ARMONIZADO'!AU64</f>
        <v>35795909.380000003</v>
      </c>
      <c r="D46" s="224">
        <f>'SGTO POAI 2024 ARMONIZADO'!AV64</f>
        <v>0</v>
      </c>
      <c r="E46" s="167">
        <f t="shared" si="1"/>
        <v>0</v>
      </c>
      <c r="F46" s="224">
        <f>'SGTO POAI 2024 ARMONIZADO'!AW64</f>
        <v>0</v>
      </c>
      <c r="G46" s="167">
        <f t="shared" si="2"/>
        <v>0</v>
      </c>
    </row>
    <row r="47" spans="1:7" ht="48" customHeight="1" x14ac:dyDescent="0.2">
      <c r="A47" s="108" t="s">
        <v>184</v>
      </c>
      <c r="B47" s="17" t="s">
        <v>172</v>
      </c>
      <c r="C47" s="224">
        <f>'SGTO POAI 2024 ARMONIZADO'!AU53+'SGTO POAI 2024 ARMONIZADO'!AU54+'SGTO POAI 2024 ARMONIZADO'!AU55+'SGTO POAI 2024 ARMONIZADO'!AU56+'SGTO POAI 2024 ARMONIZADO'!AU57+'SGTO POAI 2024 ARMONIZADO'!AU487+'SGTO POAI 2024 ARMONIZADO'!AU488+'SGTO POAI 2024 ARMONIZADO'!AU489</f>
        <v>8544056506.3299999</v>
      </c>
      <c r="D47" s="224">
        <f>'SGTO POAI 2024 ARMONIZADO'!AV53+'SGTO POAI 2024 ARMONIZADO'!AV54+'SGTO POAI 2024 ARMONIZADO'!AV55+'SGTO POAI 2024 ARMONIZADO'!AV56+'SGTO POAI 2024 ARMONIZADO'!AV57+'SGTO POAI 2024 ARMONIZADO'!AV487+'SGTO POAI 2024 ARMONIZADO'!AV488+'SGTO POAI 2024 ARMONIZADO'!AV489</f>
        <v>5536743574.7799997</v>
      </c>
      <c r="E47" s="167">
        <f t="shared" si="1"/>
        <v>0.64802281804644146</v>
      </c>
      <c r="F47" s="224">
        <f>'SGTO POAI 2024 ARMONIZADO'!AW53+'SGTO POAI 2024 ARMONIZADO'!AW54+'SGTO POAI 2024 ARMONIZADO'!AW55+'SGTO POAI 2024 ARMONIZADO'!AW56+'SGTO POAI 2024 ARMONIZADO'!AW57+'SGTO POAI 2024 ARMONIZADO'!AW487+'SGTO POAI 2024 ARMONIZADO'!AW488+'SGTO POAI 2024 ARMONIZADO'!AW489</f>
        <v>3987305322</v>
      </c>
      <c r="G47" s="167">
        <f t="shared" si="2"/>
        <v>0.46667590728665492</v>
      </c>
    </row>
    <row r="48" spans="1:7" ht="34.5" customHeight="1" x14ac:dyDescent="0.2">
      <c r="A48" s="11" t="s">
        <v>200</v>
      </c>
      <c r="B48" s="12" t="s">
        <v>129</v>
      </c>
      <c r="C48" s="223">
        <f>SUM(C49:C52)</f>
        <v>13080671964.6</v>
      </c>
      <c r="D48" s="223">
        <f>SUM(D49:D52)</f>
        <v>11200648942.189999</v>
      </c>
      <c r="E48" s="168">
        <f t="shared" si="1"/>
        <v>0.85627473668800225</v>
      </c>
      <c r="F48" s="223">
        <f>SUM(F49:F52)</f>
        <v>9272700123.4799995</v>
      </c>
      <c r="G48" s="168">
        <f t="shared" si="2"/>
        <v>0.70888560989638372</v>
      </c>
    </row>
    <row r="49" spans="1:7" ht="45" customHeight="1" x14ac:dyDescent="0.2">
      <c r="A49" s="108">
        <v>4101</v>
      </c>
      <c r="B49" s="17" t="s">
        <v>248</v>
      </c>
      <c r="C49" s="224">
        <f>'SGTO POAI 2024 ARMONIZADO'!AU73+'SGTO POAI 2024 ARMONIZADO'!AU74+'SGTO POAI 2024 ARMONIZADO'!AU75+'SGTO POAI 2024 ARMONIZADO'!AU76+'SGTO POAI 2024 ARMONIZADO'!AU77+'SGTO POAI 2024 ARMONIZADO'!AU78+'SGTO POAI 2024 ARMONIZADO'!AU79+'SGTO POAI 2024 ARMONIZADO'!AU80+'SGTO POAI 2024 ARMONIZADO'!AU81</f>
        <v>343200000</v>
      </c>
      <c r="D49" s="224">
        <f>'SGTO POAI 2024 ARMONIZADO'!AV73+'SGTO POAI 2024 ARMONIZADO'!AV74+'SGTO POAI 2024 ARMONIZADO'!AV75+'SGTO POAI 2024 ARMONIZADO'!AV76+'SGTO POAI 2024 ARMONIZADO'!AV77+'SGTO POAI 2024 ARMONIZADO'!AV78+'SGTO POAI 2024 ARMONIZADO'!AV79+'SGTO POAI 2024 ARMONIZADO'!AV80+'SGTO POAI 2024 ARMONIZADO'!AV81</f>
        <v>292936948</v>
      </c>
      <c r="E49" s="167">
        <f t="shared" si="1"/>
        <v>0.85354588578088575</v>
      </c>
      <c r="F49" s="224">
        <f>'SGTO POAI 2024 ARMONIZADO'!AW73+'SGTO POAI 2024 ARMONIZADO'!AW74+'SGTO POAI 2024 ARMONIZADO'!AW75+'SGTO POAI 2024 ARMONIZADO'!AW76+'SGTO POAI 2024 ARMONIZADO'!AW77+'SGTO POAI 2024 ARMONIZADO'!AW78+'SGTO POAI 2024 ARMONIZADO'!AW79+'SGTO POAI 2024 ARMONIZADO'!AW80+'SGTO POAI 2024 ARMONIZADO'!AW81</f>
        <v>223954927</v>
      </c>
      <c r="G49" s="167">
        <f t="shared" si="2"/>
        <v>0.65254932109557107</v>
      </c>
    </row>
    <row r="50" spans="1:7" ht="71.25" customHeight="1" x14ac:dyDescent="0.2">
      <c r="A50" s="108" t="s">
        <v>201</v>
      </c>
      <c r="B50" s="17" t="s">
        <v>202</v>
      </c>
      <c r="C50" s="224">
        <f>'SGTO POAI 2024 ARMONIZADO'!AU61+'SGTO POAI 2024 ARMONIZADO'!AU255+'SGTO POAI 2024 ARMONIZADO'!AU256+'SGTO POAI 2024 ARMONIZADO'!AU257+'SGTO POAI 2024 ARMONIZADO'!AU258+'SGTO POAI 2024 ARMONIZADO'!AU259+'SGTO POAI 2024 ARMONIZADO'!AU260+'SGTO POAI 2024 ARMONIZADO'!AU261+'SGTO POAI 2024 ARMONIZADO'!AU262+'SGTO POAI 2024 ARMONIZADO'!AU263+'SGTO POAI 2024 ARMONIZADO'!AU264+'SGTO POAI 2024 ARMONIZADO'!AU265+'SGTO POAI 2024 ARMONIZADO'!AU266+'SGTO POAI 2024 ARMONIZADO'!AU267+'SGTO POAI 2024 ARMONIZADO'!AU300+'SGTO POAI 2024 ARMONIZADO'!AU301</f>
        <v>2013135000</v>
      </c>
      <c r="D50" s="224">
        <f>'SGTO POAI 2024 ARMONIZADO'!AV61+'SGTO POAI 2024 ARMONIZADO'!AV255+'SGTO POAI 2024 ARMONIZADO'!AV256+'SGTO POAI 2024 ARMONIZADO'!AV257+'SGTO POAI 2024 ARMONIZADO'!AV258+'SGTO POAI 2024 ARMONIZADO'!AV259+'SGTO POAI 2024 ARMONIZADO'!AV260+'SGTO POAI 2024 ARMONIZADO'!AV261+'SGTO POAI 2024 ARMONIZADO'!AV262+'SGTO POAI 2024 ARMONIZADO'!AV263+'SGTO POAI 2024 ARMONIZADO'!AV264+'SGTO POAI 2024 ARMONIZADO'!AV265+'SGTO POAI 2024 ARMONIZADO'!AV266+'SGTO POAI 2024 ARMONIZADO'!AV267+'SGTO POAI 2024 ARMONIZADO'!AV300+'SGTO POAI 2024 ARMONIZADO'!AV301</f>
        <v>1175105395</v>
      </c>
      <c r="E50" s="167">
        <f t="shared" si="1"/>
        <v>0.58371912216518018</v>
      </c>
      <c r="F50" s="224">
        <f>'SGTO POAI 2024 ARMONIZADO'!AW61+'SGTO POAI 2024 ARMONIZADO'!AW255+'SGTO POAI 2024 ARMONIZADO'!AW256+'SGTO POAI 2024 ARMONIZADO'!AW257+'SGTO POAI 2024 ARMONIZADO'!AW258+'SGTO POAI 2024 ARMONIZADO'!AW259+'SGTO POAI 2024 ARMONIZADO'!AW260+'SGTO POAI 2024 ARMONIZADO'!AW261+'SGTO POAI 2024 ARMONIZADO'!AW262+'SGTO POAI 2024 ARMONIZADO'!AW263+'SGTO POAI 2024 ARMONIZADO'!AW264+'SGTO POAI 2024 ARMONIZADO'!AW265+'SGTO POAI 2024 ARMONIZADO'!AW266+'SGTO POAI 2024 ARMONIZADO'!AW267+'SGTO POAI 2024 ARMONIZADO'!AW300+'SGTO POAI 2024 ARMONIZADO'!AW301</f>
        <v>928621930.95000005</v>
      </c>
      <c r="G50" s="167">
        <f t="shared" si="2"/>
        <v>0.46128149922881478</v>
      </c>
    </row>
    <row r="51" spans="1:7" ht="50.25" customHeight="1" x14ac:dyDescent="0.2">
      <c r="A51" s="108" t="s">
        <v>724</v>
      </c>
      <c r="B51" s="17" t="s">
        <v>272</v>
      </c>
      <c r="C51" s="224">
        <f>'SGTO POAI 2024 ARMONIZADO'!AU82+'SGTO POAI 2024 ARMONIZADO'!AU83+'SGTO POAI 2024 ARMONIZADO'!AU268+'SGTO POAI 2024 ARMONIZADO'!AU269+'SGTO POAI 2024 ARMONIZADO'!AU270+'SGTO POAI 2024 ARMONIZADO'!AU271+'SGTO POAI 2024 ARMONIZADO'!AU272+'SGTO POAI 2024 ARMONIZADO'!AU273+'SGTO POAI 2024 ARMONIZADO'!AU274+'SGTO POAI 2024 ARMONIZADO'!AU275+'SGTO POAI 2024 ARMONIZADO'!AU276+'SGTO POAI 2024 ARMONIZADO'!AU277+'SGTO POAI 2024 ARMONIZADO'!AU278+'SGTO POAI 2024 ARMONIZADO'!AU279+'SGTO POAI 2024 ARMONIZADO'!AU280</f>
        <v>541267000</v>
      </c>
      <c r="D51" s="224">
        <f>'SGTO POAI 2024 ARMONIZADO'!AV82+'SGTO POAI 2024 ARMONIZADO'!AV83+'SGTO POAI 2024 ARMONIZADO'!AV268+'SGTO POAI 2024 ARMONIZADO'!AV269+'SGTO POAI 2024 ARMONIZADO'!AV270+'SGTO POAI 2024 ARMONIZADO'!AV271+'SGTO POAI 2024 ARMONIZADO'!AV272+'SGTO POAI 2024 ARMONIZADO'!AV273+'SGTO POAI 2024 ARMONIZADO'!AV274+'SGTO POAI 2024 ARMONIZADO'!AV275+'SGTO POAI 2024 ARMONIZADO'!AV276+'SGTO POAI 2024 ARMONIZADO'!AV277+'SGTO POAI 2024 ARMONIZADO'!AV278+'SGTO POAI 2024 ARMONIZADO'!AV279+'SGTO POAI 2024 ARMONIZADO'!AV280</f>
        <v>447980333</v>
      </c>
      <c r="E51" s="167">
        <f t="shared" si="1"/>
        <v>0.82765129409330329</v>
      </c>
      <c r="F51" s="224">
        <f>'SGTO POAI 2024 ARMONIZADO'!AW82+'SGTO POAI 2024 ARMONIZADO'!AW83+'SGTO POAI 2024 ARMONIZADO'!AW268+'SGTO POAI 2024 ARMONIZADO'!AW269+'SGTO POAI 2024 ARMONIZADO'!AW270+'SGTO POAI 2024 ARMONIZADO'!AW271+'SGTO POAI 2024 ARMONIZADO'!AW272+'SGTO POAI 2024 ARMONIZADO'!AW273+'SGTO POAI 2024 ARMONIZADO'!AW274+'SGTO POAI 2024 ARMONIZADO'!AW275+'SGTO POAI 2024 ARMONIZADO'!AW276+'SGTO POAI 2024 ARMONIZADO'!AW277+'SGTO POAI 2024 ARMONIZADO'!AW278+'SGTO POAI 2024 ARMONIZADO'!AW279+'SGTO POAI 2024 ARMONIZADO'!AW280</f>
        <v>406067000</v>
      </c>
      <c r="G51" s="167">
        <f t="shared" si="2"/>
        <v>0.75021569761319273</v>
      </c>
    </row>
    <row r="52" spans="1:7" ht="50.25" customHeight="1" x14ac:dyDescent="0.2">
      <c r="A52" s="108" t="s">
        <v>207</v>
      </c>
      <c r="B52" s="17" t="s">
        <v>130</v>
      </c>
      <c r="C52" s="224">
        <f>'SGTO POAI 2024 ARMONIZADO'!AU44+'SGTO POAI 2024 ARMONIZADO'!AU62+'SGTO POAI 2024 ARMONIZADO'!AU281+'SGTO POAI 2024 ARMONIZADO'!AU282+'SGTO POAI 2024 ARMONIZADO'!AU283+'SGTO POAI 2024 ARMONIZADO'!AU284+'SGTO POAI 2024 ARMONIZADO'!AU285+'SGTO POAI 2024 ARMONIZADO'!AU286+'SGTO POAI 2024 ARMONIZADO'!AU287+'SGTO POAI 2024 ARMONIZADO'!AU288+'SGTO POAI 2024 ARMONIZADO'!AU289</f>
        <v>10183069964.6</v>
      </c>
      <c r="D52" s="224">
        <f>'SGTO POAI 2024 ARMONIZADO'!AV44+'SGTO POAI 2024 ARMONIZADO'!AV62+'SGTO POAI 2024 ARMONIZADO'!AV281+'SGTO POAI 2024 ARMONIZADO'!AV282+'SGTO POAI 2024 ARMONIZADO'!AV283+'SGTO POAI 2024 ARMONIZADO'!AV284+'SGTO POAI 2024 ARMONIZADO'!AV285+'SGTO POAI 2024 ARMONIZADO'!AV286+'SGTO POAI 2024 ARMONIZADO'!AV287+'SGTO POAI 2024 ARMONIZADO'!AV288+'SGTO POAI 2024 ARMONIZADO'!AV289</f>
        <v>9284626266.1899986</v>
      </c>
      <c r="E52" s="167">
        <f t="shared" si="1"/>
        <v>0.91177084105939432</v>
      </c>
      <c r="F52" s="224">
        <f>'SGTO POAI 2024 ARMONIZADO'!AW44+'SGTO POAI 2024 ARMONIZADO'!AW62+'SGTO POAI 2024 ARMONIZADO'!AW281+'SGTO POAI 2024 ARMONIZADO'!AW282+'SGTO POAI 2024 ARMONIZADO'!AW283+'SGTO POAI 2024 ARMONIZADO'!AW284+'SGTO POAI 2024 ARMONIZADO'!AW285+'SGTO POAI 2024 ARMONIZADO'!AW286+'SGTO POAI 2024 ARMONIZADO'!AW287+'SGTO POAI 2024 ARMONIZADO'!AW288+'SGTO POAI 2024 ARMONIZADO'!AW289</f>
        <v>7714056265.5299997</v>
      </c>
      <c r="G52" s="167">
        <f t="shared" si="2"/>
        <v>0.75753739219575467</v>
      </c>
    </row>
    <row r="53" spans="1:7" ht="27.75" customHeight="1" x14ac:dyDescent="0.2">
      <c r="A53" s="11" t="s">
        <v>139</v>
      </c>
      <c r="B53" s="12" t="s">
        <v>134</v>
      </c>
      <c r="C53" s="223">
        <f>SUM(C54:C55)</f>
        <v>19173653635.989998</v>
      </c>
      <c r="D53" s="223">
        <f>SUM(D54:D55)</f>
        <v>12176646249.59</v>
      </c>
      <c r="E53" s="168">
        <f t="shared" si="1"/>
        <v>0.63507177509109525</v>
      </c>
      <c r="F53" s="223">
        <f>SUM(F54:F55)</f>
        <v>9180302432.6100006</v>
      </c>
      <c r="G53" s="168">
        <f t="shared" si="2"/>
        <v>0.47879776107867467</v>
      </c>
    </row>
    <row r="54" spans="1:7" ht="44.25" customHeight="1" x14ac:dyDescent="0.2">
      <c r="A54" s="108" t="s">
        <v>140</v>
      </c>
      <c r="B54" s="17" t="s">
        <v>141</v>
      </c>
      <c r="C54" s="224">
        <f>'SGTO POAI 2024 ARMONIZADO'!AU45+'SGTO POAI 2024 ARMONIZADO'!AU46+'SGTO POAI 2024 ARMONIZADO'!AU47+'SGTO POAI 2024 ARMONIZADO'!AU458+'SGTO POAI 2024 ARMONIZADO'!AU459+'SGTO POAI 2024 ARMONIZADO'!AU460+'SGTO POAI 2024 ARMONIZADO'!AU461+'SGTO POAI 2024 ARMONIZADO'!AU462+'SGTO POAI 2024 ARMONIZADO'!AU463+'SGTO POAI 2024 ARMONIZADO'!AU464+'SGTO POAI 2024 ARMONIZADO'!AU465+'SGTO POAI 2024 ARMONIZADO'!AU469+'SGTO POAI 2024 ARMONIZADO'!AU470+'SGTO POAI 2024 ARMONIZADO'!AU471</f>
        <v>11794322600.309999</v>
      </c>
      <c r="D54" s="224">
        <f>'SGTO POAI 2024 ARMONIZADO'!AV45+'SGTO POAI 2024 ARMONIZADO'!AV46+'SGTO POAI 2024 ARMONIZADO'!AV47+'SGTO POAI 2024 ARMONIZADO'!AV458+'SGTO POAI 2024 ARMONIZADO'!AV459+'SGTO POAI 2024 ARMONIZADO'!AV460+'SGTO POAI 2024 ARMONIZADO'!AV461+'SGTO POAI 2024 ARMONIZADO'!AV462+'SGTO POAI 2024 ARMONIZADO'!AV463+'SGTO POAI 2024 ARMONIZADO'!AV464+'SGTO POAI 2024 ARMONIZADO'!AV465+'SGTO POAI 2024 ARMONIZADO'!AV469+'SGTO POAI 2024 ARMONIZADO'!AV470+'SGTO POAI 2024 ARMONIZADO'!AV471</f>
        <v>6365425420.21</v>
      </c>
      <c r="E54" s="167">
        <f t="shared" si="1"/>
        <v>0.5397025022906099</v>
      </c>
      <c r="F54" s="224">
        <f>'SGTO POAI 2024 ARMONIZADO'!AW45+'SGTO POAI 2024 ARMONIZADO'!AW46+'SGTO POAI 2024 ARMONIZADO'!AW47+'SGTO POAI 2024 ARMONIZADO'!AW458+'SGTO POAI 2024 ARMONIZADO'!AW459+'SGTO POAI 2024 ARMONIZADO'!AW460+'SGTO POAI 2024 ARMONIZADO'!AW461+'SGTO POAI 2024 ARMONIZADO'!AW462+'SGTO POAI 2024 ARMONIZADO'!AW463+'SGTO POAI 2024 ARMONIZADO'!AW464+'SGTO POAI 2024 ARMONIZADO'!AW465+'SGTO POAI 2024 ARMONIZADO'!AW469+'SGTO POAI 2024 ARMONIZADO'!AW470+'SGTO POAI 2024 ARMONIZADO'!AW471</f>
        <v>4307475587.1900005</v>
      </c>
      <c r="G54" s="167">
        <f t="shared" si="2"/>
        <v>0.36521602241715717</v>
      </c>
    </row>
    <row r="55" spans="1:7" ht="31.5" customHeight="1" x14ac:dyDescent="0.2">
      <c r="A55" s="108" t="s">
        <v>1042</v>
      </c>
      <c r="B55" s="17" t="s">
        <v>1038</v>
      </c>
      <c r="C55" s="224">
        <f>'SGTO POAI 2024 ARMONIZADO'!AU466+'SGTO POAI 2024 ARMONIZADO'!AU467+'SGTO POAI 2024 ARMONIZADO'!AU468</f>
        <v>7379331035.6800003</v>
      </c>
      <c r="D55" s="224">
        <f>'SGTO POAI 2024 ARMONIZADO'!AV466+'SGTO POAI 2024 ARMONIZADO'!AV467+'SGTO POAI 2024 ARMONIZADO'!AV468</f>
        <v>5811220829.3800001</v>
      </c>
      <c r="E55" s="167">
        <f t="shared" si="1"/>
        <v>0.78749968002275694</v>
      </c>
      <c r="F55" s="224">
        <f>'SGTO POAI 2024 ARMONIZADO'!AW466+'SGTO POAI 2024 ARMONIZADO'!AW467+'SGTO POAI 2024 ARMONIZADO'!AW468</f>
        <v>4872826845.4200001</v>
      </c>
      <c r="G55" s="167">
        <f t="shared" si="2"/>
        <v>0.66033449669885591</v>
      </c>
    </row>
    <row r="56" spans="1:7" ht="31.5" customHeight="1" x14ac:dyDescent="0.2">
      <c r="A56" s="11" t="s">
        <v>29</v>
      </c>
      <c r="B56" s="12" t="s">
        <v>22</v>
      </c>
      <c r="C56" s="223">
        <f>SUM(C57:C60)</f>
        <v>23789751958.82</v>
      </c>
      <c r="D56" s="223">
        <f>SUM(D57:D60)</f>
        <v>13686459465.74</v>
      </c>
      <c r="E56" s="168">
        <f t="shared" si="1"/>
        <v>0.57530904439151898</v>
      </c>
      <c r="F56" s="223">
        <f>SUM(F57:F60)</f>
        <v>9401121698.1000004</v>
      </c>
      <c r="G56" s="168">
        <f t="shared" si="2"/>
        <v>0.39517527187224644</v>
      </c>
    </row>
    <row r="57" spans="1:7" ht="45" customHeight="1" x14ac:dyDescent="0.2">
      <c r="A57" s="108">
        <v>4501</v>
      </c>
      <c r="B57" s="17" t="s">
        <v>277</v>
      </c>
      <c r="C57" s="224">
        <f>'SGTO POAI 2024 ARMONIZADO'!AU84+'SGTO POAI 2024 ARMONIZADO'!AU85+'SGTO POAI 2024 ARMONIZADO'!AU86+'SGTO POAI 2024 ARMONIZADO'!AU87+'SGTO POAI 2024 ARMONIZADO'!AU210+'SGTO POAI 2024 ARMONIZADO'!AU211+'SGTO POAI 2024 ARMONIZADO'!AU212+'SGTO POAI 2024 ARMONIZADO'!AU213+'SGTO POAI 2024 ARMONIZADO'!AU214</f>
        <v>9838883011.2600002</v>
      </c>
      <c r="D57" s="224">
        <f>'SGTO POAI 2024 ARMONIZADO'!AV84+'SGTO POAI 2024 ARMONIZADO'!AV85+'SGTO POAI 2024 ARMONIZADO'!AV86+'SGTO POAI 2024 ARMONIZADO'!AV87+'SGTO POAI 2024 ARMONIZADO'!AV210+'SGTO POAI 2024 ARMONIZADO'!AV211+'SGTO POAI 2024 ARMONIZADO'!AV212+'SGTO POAI 2024 ARMONIZADO'!AV213+'SGTO POAI 2024 ARMONIZADO'!AV214</f>
        <v>1446478724</v>
      </c>
      <c r="E57" s="167">
        <f t="shared" si="1"/>
        <v>0.14701655892692225</v>
      </c>
      <c r="F57" s="224">
        <f>'SGTO POAI 2024 ARMONIZADO'!AW84+'SGTO POAI 2024 ARMONIZADO'!AW85+'SGTO POAI 2024 ARMONIZADO'!AW86+'SGTO POAI 2024 ARMONIZADO'!AW87+'SGTO POAI 2024 ARMONIZADO'!AW210+'SGTO POAI 2024 ARMONIZADO'!AW211+'SGTO POAI 2024 ARMONIZADO'!AW212+'SGTO POAI 2024 ARMONIZADO'!AW213+'SGTO POAI 2024 ARMONIZADO'!AW214</f>
        <v>561170893</v>
      </c>
      <c r="G57" s="167">
        <f t="shared" si="2"/>
        <v>5.7036036749067369E-2</v>
      </c>
    </row>
    <row r="58" spans="1:7" ht="42.75" customHeight="1" x14ac:dyDescent="0.2">
      <c r="A58" s="108" t="s">
        <v>53</v>
      </c>
      <c r="B58" s="17" t="s">
        <v>49</v>
      </c>
      <c r="C58" s="224">
        <f>'SGTO POAI 2024 ARMONIZADO'!AU14+'SGTO POAI 2024 ARMONIZADO'!AU15+'SGTO POAI 2024 ARMONIZADO'!AU16+'SGTO POAI 2024 ARMONIZADO'!AU17+'SGTO POAI 2024 ARMONIZADO'!AU59+'SGTO POAI 2024 ARMONIZADO'!AU96+'SGTO POAI 2024 ARMONIZADO'!AU97+'SGTO POAI 2024 ARMONIZADO'!AU98+'SGTO POAI 2024 ARMONIZADO'!AU99+'SGTO POAI 2024 ARMONIZADO'!AU100+'SGTO POAI 2024 ARMONIZADO'!AU101+'SGTO POAI 2024 ARMONIZADO'!AU102+'SGTO POAI 2024 ARMONIZADO'!AU103+'SGTO POAI 2024 ARMONIZADO'!AU104+'SGTO POAI 2024 ARMONIZADO'!AU220+'SGTO POAI 2024 ARMONIZADO'!AU221+'SGTO POAI 2024 ARMONIZADO'!AU292+'SGTO POAI 2024 ARMONIZADO'!AU293+'SGTO POAI 2024 ARMONIZADO'!AU294+'SGTO POAI 2024 ARMONIZADO'!AU295+'SGTO POAI 2024 ARMONIZADO'!AU296+'SGTO POAI 2024 ARMONIZADO'!AU297+'SGTO POAI 2024 ARMONIZADO'!AU298+'SGTO POAI 2024 ARMONIZADO'!AU299+'SGTO POAI 2024 ARMONIZADO'!AU303</f>
        <v>4074154404.9099998</v>
      </c>
      <c r="D58" s="224">
        <f>'SGTO POAI 2024 ARMONIZADO'!AV14+'SGTO POAI 2024 ARMONIZADO'!AV15+'SGTO POAI 2024 ARMONIZADO'!AV16+'SGTO POAI 2024 ARMONIZADO'!AV17+'SGTO POAI 2024 ARMONIZADO'!AV59+'SGTO POAI 2024 ARMONIZADO'!AV96+'SGTO POAI 2024 ARMONIZADO'!AV97+'SGTO POAI 2024 ARMONIZADO'!AV98+'SGTO POAI 2024 ARMONIZADO'!AV99+'SGTO POAI 2024 ARMONIZADO'!AV100+'SGTO POAI 2024 ARMONIZADO'!AV101+'SGTO POAI 2024 ARMONIZADO'!AV102+'SGTO POAI 2024 ARMONIZADO'!AV103+'SGTO POAI 2024 ARMONIZADO'!AV104+'SGTO POAI 2024 ARMONIZADO'!AV220+'SGTO POAI 2024 ARMONIZADO'!AV221+'SGTO POAI 2024 ARMONIZADO'!AV292+'SGTO POAI 2024 ARMONIZADO'!AV293+'SGTO POAI 2024 ARMONIZADO'!AV294+'SGTO POAI 2024 ARMONIZADO'!AV295+'SGTO POAI 2024 ARMONIZADO'!AV296+'SGTO POAI 2024 ARMONIZADO'!AV297+'SGTO POAI 2024 ARMONIZADO'!AV298+'SGTO POAI 2024 ARMONIZADO'!AV299+'SGTO POAI 2024 ARMONIZADO'!AV303</f>
        <v>3723187992</v>
      </c>
      <c r="E58" s="167">
        <f t="shared" si="1"/>
        <v>0.91385539721149744</v>
      </c>
      <c r="F58" s="224">
        <f>'SGTO POAI 2024 ARMONIZADO'!AW14+'SGTO POAI 2024 ARMONIZADO'!AW15+'SGTO POAI 2024 ARMONIZADO'!AW16+'SGTO POAI 2024 ARMONIZADO'!AW17+'SGTO POAI 2024 ARMONIZADO'!AW59+'SGTO POAI 2024 ARMONIZADO'!AW96+'SGTO POAI 2024 ARMONIZADO'!AW97+'SGTO POAI 2024 ARMONIZADO'!AW98+'SGTO POAI 2024 ARMONIZADO'!AW99+'SGTO POAI 2024 ARMONIZADO'!AW100+'SGTO POAI 2024 ARMONIZADO'!AW101+'SGTO POAI 2024 ARMONIZADO'!AW102+'SGTO POAI 2024 ARMONIZADO'!AW103+'SGTO POAI 2024 ARMONIZADO'!AW104+'SGTO POAI 2024 ARMONIZADO'!AW220+'SGTO POAI 2024 ARMONIZADO'!AW221+'SGTO POAI 2024 ARMONIZADO'!AW292+'SGTO POAI 2024 ARMONIZADO'!AW293+'SGTO POAI 2024 ARMONIZADO'!AW294+'SGTO POAI 2024 ARMONIZADO'!AW295+'SGTO POAI 2024 ARMONIZADO'!AW296+'SGTO POAI 2024 ARMONIZADO'!AW297+'SGTO POAI 2024 ARMONIZADO'!AW298+'SGTO POAI 2024 ARMONIZADO'!AW299+'SGTO POAI 2024 ARMONIZADO'!AW303</f>
        <v>3179505624.1199999</v>
      </c>
      <c r="G58" s="167">
        <f t="shared" si="2"/>
        <v>0.780408719975903</v>
      </c>
    </row>
    <row r="59" spans="1:7" ht="33.75" customHeight="1" x14ac:dyDescent="0.2">
      <c r="A59" s="108" t="s">
        <v>301</v>
      </c>
      <c r="B59" s="17" t="s">
        <v>292</v>
      </c>
      <c r="C59" s="224">
        <f>'SGTO POAI 2024 ARMONIZADO'!AU89+'SGTO POAI 2024 ARMONIZADO'!AU90+'SGTO POAI 2024 ARMONIZADO'!AU91+'SGTO POAI 2024 ARMONIZADO'!AU92+'SGTO POAI 2024 ARMONIZADO'!AU93+'SGTO POAI 2024 ARMONIZADO'!AU94+'SGTO POAI 2024 ARMONIZADO'!AU95</f>
        <v>557000000</v>
      </c>
      <c r="D59" s="224">
        <f>'SGTO POAI 2024 ARMONIZADO'!AV89+'SGTO POAI 2024 ARMONIZADO'!AV90+'SGTO POAI 2024 ARMONIZADO'!AV91+'SGTO POAI 2024 ARMONIZADO'!AV92+'SGTO POAI 2024 ARMONIZADO'!AV93+'SGTO POAI 2024 ARMONIZADO'!AV94+'SGTO POAI 2024 ARMONIZADO'!AV95</f>
        <v>435105602</v>
      </c>
      <c r="E59" s="167">
        <f t="shared" si="1"/>
        <v>0.78115907001795337</v>
      </c>
      <c r="F59" s="224">
        <f>'SGTO POAI 2024 ARMONIZADO'!AW89+'SGTO POAI 2024 ARMONIZADO'!AW90+'SGTO POAI 2024 ARMONIZADO'!AW91+'SGTO POAI 2024 ARMONIZADO'!AW92+'SGTO POAI 2024 ARMONIZADO'!AW93+'SGTO POAI 2024 ARMONIZADO'!AW94+'SGTO POAI 2024 ARMONIZADO'!AW95</f>
        <v>309460500</v>
      </c>
      <c r="G59" s="167">
        <f t="shared" si="2"/>
        <v>0.55558438061041293</v>
      </c>
    </row>
    <row r="60" spans="1:7" ht="48.75" customHeight="1" x14ac:dyDescent="0.2">
      <c r="A60" s="108" t="s">
        <v>31</v>
      </c>
      <c r="B60" s="17" t="s">
        <v>32</v>
      </c>
      <c r="C60" s="224">
        <f>'SGTO POAI 2024 ARMONIZADO'!AU8+'SGTO POAI 2024 ARMONIZADO'!AU9+'SGTO POAI 2024 ARMONIZADO'!AU10+'SGTO POAI 2024 ARMONIZADO'!AU11+'SGTO POAI 2024 ARMONIZADO'!AU12+'SGTO POAI 2024 ARMONIZADO'!AU13+'SGTO POAI 2024 ARMONIZADO'!AU18+'SGTO POAI 2024 ARMONIZADO'!AU19+'SGTO POAI 2024 ARMONIZADO'!AU20+'SGTO POAI 2024 ARMONIZADO'!AU21+'SGTO POAI 2024 ARMONIZADO'!AU22+'SGTO POAI 2024 ARMONIZADO'!AU23+'SGTO POAI 2024 ARMONIZADO'!AU24+'SGTO POAI 2024 ARMONIZADO'!AU25+'SGTO POAI 2024 ARMONIZADO'!AU26+'SGTO POAI 2024 ARMONIZADO'!AU27+'SGTO POAI 2024 ARMONIZADO'!AU28+'SGTO POAI 2024 ARMONIZADO'!AU29+'SGTO POAI 2024 ARMONIZADO'!AU30+'SGTO POAI 2024 ARMONIZADO'!AU31+'SGTO POAI 2024 ARMONIZADO'!AU32+'SGTO POAI 2024 ARMONIZADO'!AU33+'SGTO POAI 2024 ARMONIZADO'!AU34+'SGTO POAI 2024 ARMONIZADO'!AU35+'SGTO POAI 2024 ARMONIZADO'!AU36+'SGTO POAI 2024 ARMONIZADO'!AU37+'SGTO POAI 2024 ARMONIZADO'!AU38+'SGTO POAI 2024 ARMONIZADO'!AU58+'SGTO POAI 2024 ARMONIZADO'!AU105+'SGTO POAI 2024 ARMONIZADO'!AU150+'SGTO POAI 2024 ARMONIZADO'!AU216+'SGTO POAI 2024 ARMONIZADO'!AU217+'SGTO POAI 2024 ARMONIZADO'!AU218+'SGTO POAI 2024 ARMONIZADO'!AU219+'SGTO POAI 2024 ARMONIZADO'!AU302+'SGTO POAI 2024 ARMONIZADO'!AU304+'SGTO POAI 2024 ARMONIZADO'!AU485+'SGTO POAI 2024 ARMONIZADO'!AU486</f>
        <v>9319714542.6499996</v>
      </c>
      <c r="D60" s="224">
        <f>'SGTO POAI 2024 ARMONIZADO'!AV8+'SGTO POAI 2024 ARMONIZADO'!AV9+'SGTO POAI 2024 ARMONIZADO'!AV10+'SGTO POAI 2024 ARMONIZADO'!AV11+'SGTO POAI 2024 ARMONIZADO'!AV12+'SGTO POAI 2024 ARMONIZADO'!AV13+'SGTO POAI 2024 ARMONIZADO'!AV18+'SGTO POAI 2024 ARMONIZADO'!AV19+'SGTO POAI 2024 ARMONIZADO'!AV20+'SGTO POAI 2024 ARMONIZADO'!AV21+'SGTO POAI 2024 ARMONIZADO'!AV22+'SGTO POAI 2024 ARMONIZADO'!AV23+'SGTO POAI 2024 ARMONIZADO'!AV24+'SGTO POAI 2024 ARMONIZADO'!AV25+'SGTO POAI 2024 ARMONIZADO'!AV26+'SGTO POAI 2024 ARMONIZADO'!AV27+'SGTO POAI 2024 ARMONIZADO'!AV28+'SGTO POAI 2024 ARMONIZADO'!AV29+'SGTO POAI 2024 ARMONIZADO'!AV30+'SGTO POAI 2024 ARMONIZADO'!AV31+'SGTO POAI 2024 ARMONIZADO'!AV32+'SGTO POAI 2024 ARMONIZADO'!AV33+'SGTO POAI 2024 ARMONIZADO'!AV34+'SGTO POAI 2024 ARMONIZADO'!AV35+'SGTO POAI 2024 ARMONIZADO'!AV36+'SGTO POAI 2024 ARMONIZADO'!AV37+'SGTO POAI 2024 ARMONIZADO'!AV38+'SGTO POAI 2024 ARMONIZADO'!AV58+'SGTO POAI 2024 ARMONIZADO'!AV105+'SGTO POAI 2024 ARMONIZADO'!AV150+'SGTO POAI 2024 ARMONIZADO'!AV216+'SGTO POAI 2024 ARMONIZADO'!AV217+'SGTO POAI 2024 ARMONIZADO'!AV218+'SGTO POAI 2024 ARMONIZADO'!AV219+'SGTO POAI 2024 ARMONIZADO'!AV302+'SGTO POAI 2024 ARMONIZADO'!AV304+'SGTO POAI 2024 ARMONIZADO'!AV485+'SGTO POAI 2024 ARMONIZADO'!AV486</f>
        <v>8081687147.7399998</v>
      </c>
      <c r="E60" s="167">
        <f t="shared" si="1"/>
        <v>0.86716037393158452</v>
      </c>
      <c r="F60" s="224">
        <f>'SGTO POAI 2024 ARMONIZADO'!AW8+'SGTO POAI 2024 ARMONIZADO'!AW9+'SGTO POAI 2024 ARMONIZADO'!AW10+'SGTO POAI 2024 ARMONIZADO'!AW11+'SGTO POAI 2024 ARMONIZADO'!AW12+'SGTO POAI 2024 ARMONIZADO'!AW13+'SGTO POAI 2024 ARMONIZADO'!AW18+'SGTO POAI 2024 ARMONIZADO'!AW19+'SGTO POAI 2024 ARMONIZADO'!AW20+'SGTO POAI 2024 ARMONIZADO'!AW21+'SGTO POAI 2024 ARMONIZADO'!AW22+'SGTO POAI 2024 ARMONIZADO'!AW23+'SGTO POAI 2024 ARMONIZADO'!AW24+'SGTO POAI 2024 ARMONIZADO'!AW25+'SGTO POAI 2024 ARMONIZADO'!AW26+'SGTO POAI 2024 ARMONIZADO'!AW27+'SGTO POAI 2024 ARMONIZADO'!AW28+'SGTO POAI 2024 ARMONIZADO'!AW29+'SGTO POAI 2024 ARMONIZADO'!AW30+'SGTO POAI 2024 ARMONIZADO'!AW31+'SGTO POAI 2024 ARMONIZADO'!AW32+'SGTO POAI 2024 ARMONIZADO'!AW33+'SGTO POAI 2024 ARMONIZADO'!AW34+'SGTO POAI 2024 ARMONIZADO'!AW35+'SGTO POAI 2024 ARMONIZADO'!AW36+'SGTO POAI 2024 ARMONIZADO'!AW37+'SGTO POAI 2024 ARMONIZADO'!AW38+'SGTO POAI 2024 ARMONIZADO'!AW58+'SGTO POAI 2024 ARMONIZADO'!AW105+'SGTO POAI 2024 ARMONIZADO'!AW150+'SGTO POAI 2024 ARMONIZADO'!AW216+'SGTO POAI 2024 ARMONIZADO'!AW217+'SGTO POAI 2024 ARMONIZADO'!AW218+'SGTO POAI 2024 ARMONIZADO'!AW219+'SGTO POAI 2024 ARMONIZADO'!AW302+'SGTO POAI 2024 ARMONIZADO'!AW304+'SGTO POAI 2024 ARMONIZADO'!AW485+'SGTO POAI 2024 ARMONIZADO'!AW486</f>
        <v>5350984680.9800005</v>
      </c>
      <c r="G60" s="167">
        <f t="shared" si="2"/>
        <v>0.5741575727981989</v>
      </c>
    </row>
    <row r="61" spans="1:7" ht="30" customHeight="1" x14ac:dyDescent="0.2">
      <c r="A61" s="170"/>
      <c r="B61" s="222" t="s">
        <v>1275</v>
      </c>
      <c r="C61" s="221">
        <f>C3+C7+C15+C19+C22+C25+C28+C35+C38+C40+C42+C44+C48+C53+C56</f>
        <v>494776796420.02002</v>
      </c>
      <c r="D61" s="221">
        <f>D3+D7+D15+D19+D22+D25+D28+D35+D38+D40+D42+D44+D48+D53+D56</f>
        <v>343611857017.50012</v>
      </c>
      <c r="E61" s="172">
        <f t="shared" si="1"/>
        <v>0.69447851941263072</v>
      </c>
      <c r="F61" s="221">
        <f>F3+F7+F15+F19+F22+F25+F28+F35+F38+F40+F42+F44+F48+F53+F56</f>
        <v>303951747804.09003</v>
      </c>
      <c r="G61" s="172">
        <f t="shared" si="2"/>
        <v>0.61432094229831857</v>
      </c>
    </row>
    <row r="62" spans="1:7" x14ac:dyDescent="0.2">
      <c r="D62" s="116"/>
      <c r="E62" s="116"/>
      <c r="F62" s="116"/>
      <c r="G62" s="116"/>
    </row>
    <row r="64" spans="1:7" x14ac:dyDescent="0.2">
      <c r="D64" s="116"/>
      <c r="E64" s="116"/>
      <c r="F64" s="116"/>
      <c r="G64" s="116"/>
    </row>
    <row r="65" spans="4:7" x14ac:dyDescent="0.2">
      <c r="D65" s="116"/>
      <c r="E65" s="116"/>
      <c r="F65" s="116"/>
      <c r="G65" s="116"/>
    </row>
  </sheetData>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8"/>
  <sheetViews>
    <sheetView showGridLines="0" zoomScale="80" zoomScaleNormal="80" workbookViewId="0">
      <pane xSplit="1" ySplit="2" topLeftCell="E256" activePane="bottomRight" state="frozen"/>
      <selection pane="topRight" activeCell="B1" sqref="B1"/>
      <selection pane="bottomLeft" activeCell="A3" sqref="A3"/>
      <selection pane="bottomRight" activeCell="L270" sqref="L270"/>
    </sheetView>
  </sheetViews>
  <sheetFormatPr baseColWidth="10" defaultColWidth="11.42578125" defaultRowHeight="12.75" x14ac:dyDescent="0.2"/>
  <cols>
    <col min="1" max="1" width="14" style="116" bestFit="1" customWidth="1"/>
    <col min="2" max="2" width="14" style="116" customWidth="1"/>
    <col min="3" max="3" width="35.42578125" style="116" customWidth="1"/>
    <col min="4" max="4" width="14.7109375" style="116" customWidth="1"/>
    <col min="5" max="5" width="32.42578125" style="117" customWidth="1"/>
    <col min="6" max="6" width="8.7109375" style="68" customWidth="1"/>
    <col min="7" max="7" width="17.5703125" style="116" customWidth="1"/>
    <col min="8" max="8" width="44.5703125" style="116" customWidth="1"/>
    <col min="9" max="9" width="19.5703125" style="116" customWidth="1"/>
    <col min="10" max="10" width="21.28515625" style="68" customWidth="1"/>
    <col min="11" max="11" width="14.140625" style="68" customWidth="1"/>
    <col min="12" max="12" width="18.42578125" style="68" customWidth="1"/>
    <col min="13" max="13" width="17.28515625" style="68" customWidth="1"/>
    <col min="14" max="16384" width="11.42578125" style="68"/>
  </cols>
  <sheetData>
    <row r="1" spans="1:13" ht="49.5" customHeight="1" x14ac:dyDescent="0.2">
      <c r="A1" s="229" t="s">
        <v>1258</v>
      </c>
      <c r="B1" s="230"/>
      <c r="C1" s="230"/>
      <c r="D1" s="230"/>
      <c r="E1" s="230"/>
      <c r="F1" s="230"/>
      <c r="G1" s="230"/>
      <c r="H1" s="230"/>
      <c r="I1" s="230"/>
      <c r="J1" s="230"/>
      <c r="K1" s="230"/>
      <c r="L1" s="230"/>
      <c r="M1" s="230"/>
    </row>
    <row r="2" spans="1:13" ht="43.5" customHeight="1" x14ac:dyDescent="0.2">
      <c r="A2" s="173" t="s">
        <v>1118</v>
      </c>
      <c r="B2" s="173" t="s">
        <v>1216</v>
      </c>
      <c r="C2" s="173" t="s">
        <v>1217</v>
      </c>
      <c r="D2" s="173" t="s">
        <v>1119</v>
      </c>
      <c r="E2" s="174" t="s">
        <v>1120</v>
      </c>
      <c r="F2" s="173" t="s">
        <v>1121</v>
      </c>
      <c r="G2" s="173" t="s">
        <v>1122</v>
      </c>
      <c r="H2" s="173" t="s">
        <v>1123</v>
      </c>
      <c r="I2" s="175" t="s">
        <v>1200</v>
      </c>
      <c r="J2" s="175" t="s">
        <v>1201</v>
      </c>
      <c r="K2" s="175" t="s">
        <v>1236</v>
      </c>
      <c r="L2" s="175" t="s">
        <v>1202</v>
      </c>
      <c r="M2" s="175" t="s">
        <v>1237</v>
      </c>
    </row>
    <row r="3" spans="1:13" s="142" customFormat="1" ht="27.75" customHeight="1" x14ac:dyDescent="0.25">
      <c r="A3" s="16">
        <v>304</v>
      </c>
      <c r="B3" s="16"/>
      <c r="C3" s="16"/>
      <c r="D3" s="187"/>
      <c r="E3" s="12"/>
      <c r="F3" s="5"/>
      <c r="G3" s="233" t="s">
        <v>1125</v>
      </c>
      <c r="H3" s="233"/>
      <c r="I3" s="223">
        <f>SUM(I4:I11)</f>
        <v>540752326.99000001</v>
      </c>
      <c r="J3" s="223">
        <f>SUM(J4:J11)</f>
        <v>540626668</v>
      </c>
      <c r="K3" s="168">
        <f>J3/I3</f>
        <v>0.99976762191537949</v>
      </c>
      <c r="L3" s="223">
        <f>SUM(L4:L11)</f>
        <v>338950000</v>
      </c>
      <c r="M3" s="168">
        <f>L3/I3</f>
        <v>0.62681191200175479</v>
      </c>
    </row>
    <row r="4" spans="1:13" s="142" customFormat="1" ht="60" customHeight="1" x14ac:dyDescent="0.25">
      <c r="A4" s="108">
        <v>304</v>
      </c>
      <c r="B4" s="108">
        <f>'SGTO POAI 2024 ARMONIZADO'!E8</f>
        <v>4</v>
      </c>
      <c r="C4" s="109" t="str">
        <f>'SGTO POAI 2024 ARMONIZADO'!F8</f>
        <v xml:space="preserve">Gobernabilidad, Fortalecimiento Institucional y Seguridad. “Quindío territorio seguro y confiable” </v>
      </c>
      <c r="D4" s="108">
        <v>4502</v>
      </c>
      <c r="E4" s="110" t="s">
        <v>49</v>
      </c>
      <c r="F4" s="108">
        <v>1</v>
      </c>
      <c r="G4" s="108">
        <v>2020003630005</v>
      </c>
      <c r="H4" s="110" t="s">
        <v>52</v>
      </c>
      <c r="I4" s="224">
        <f>'SGTO POAI 2024 ARMONIZADO'!AU14</f>
        <v>14800000</v>
      </c>
      <c r="J4" s="224">
        <f>'SGTO POAI 2024 ARMONIZADO'!AV14</f>
        <v>14800000</v>
      </c>
      <c r="K4" s="167">
        <f t="shared" ref="K4:K67" si="0">J4/I4</f>
        <v>1</v>
      </c>
      <c r="L4" s="224">
        <f>'SGTO POAI 2024 ARMONIZADO'!AW14</f>
        <v>14800000</v>
      </c>
      <c r="M4" s="166">
        <f t="shared" ref="M4:M67" si="1">L4/I4</f>
        <v>1</v>
      </c>
    </row>
    <row r="5" spans="1:13" s="142" customFormat="1" ht="60" customHeight="1" x14ac:dyDescent="0.25">
      <c r="A5" s="108">
        <v>304</v>
      </c>
      <c r="B5" s="108">
        <f>'SGTO POAI 2024 ARMONIZADO'!E9</f>
        <v>4</v>
      </c>
      <c r="C5" s="109" t="str">
        <f>'SGTO POAI 2024 ARMONIZADO'!F9</f>
        <v xml:space="preserve">Gobernabilidad, Fortalecimiento Institucional y Seguridad. “Quindío territorio seguro y confiable” </v>
      </c>
      <c r="D5" s="108">
        <v>4502</v>
      </c>
      <c r="E5" s="110" t="s">
        <v>49</v>
      </c>
      <c r="F5" s="108">
        <f>F4+1</f>
        <v>2</v>
      </c>
      <c r="G5" s="108">
        <f>'SGTO POAI 2024 ARMONIZADO'!R15</f>
        <v>2024003630010</v>
      </c>
      <c r="H5" s="110" t="str">
        <f>'SGTO POAI 2024 ARMONIZADO'!S15</f>
        <v>Implementación del Sistema Departamental de Servicio a la Ciudadanía SDSC de manera participativa e incluyente en el gobierno del   Quindio</v>
      </c>
      <c r="I5" s="224">
        <f>'SGTO POAI 2024 ARMONIZADO'!AU15</f>
        <v>59802326.990000002</v>
      </c>
      <c r="J5" s="224">
        <f>'SGTO POAI 2024 ARMONIZADO'!AV15</f>
        <v>59736667</v>
      </c>
      <c r="K5" s="167">
        <f t="shared" si="0"/>
        <v>0.99890204958059603</v>
      </c>
      <c r="L5" s="224">
        <f>'SGTO POAI 2024 ARMONIZADO'!AW15</f>
        <v>29400000</v>
      </c>
      <c r="M5" s="166">
        <f t="shared" si="1"/>
        <v>0.49161966565140847</v>
      </c>
    </row>
    <row r="6" spans="1:13" s="142" customFormat="1" ht="72" customHeight="1" x14ac:dyDescent="0.25">
      <c r="A6" s="108">
        <v>304</v>
      </c>
      <c r="B6" s="108">
        <f>'SGTO POAI 2024 ARMONIZADO'!E10</f>
        <v>4</v>
      </c>
      <c r="C6" s="109" t="str">
        <f>'SGTO POAI 2024 ARMONIZADO'!F10</f>
        <v xml:space="preserve">Gobernabilidad, Fortalecimiento Institucional y Seguridad. “Quindío territorio seguro y confiable” </v>
      </c>
      <c r="D6" s="108">
        <v>4599</v>
      </c>
      <c r="E6" s="110" t="s">
        <v>23</v>
      </c>
      <c r="F6" s="108">
        <f t="shared" ref="F6:F11" si="2">F5+1</f>
        <v>3</v>
      </c>
      <c r="G6" s="108">
        <v>2020003630006</v>
      </c>
      <c r="H6" s="110" t="s">
        <v>27</v>
      </c>
      <c r="I6" s="224">
        <f>'SGTO POAI 2024 ARMONIZADO'!AU8</f>
        <v>58250000</v>
      </c>
      <c r="J6" s="224">
        <f>'SGTO POAI 2024 ARMONIZADO'!AV8</f>
        <v>58250000</v>
      </c>
      <c r="K6" s="167">
        <f t="shared" si="0"/>
        <v>1</v>
      </c>
      <c r="L6" s="224">
        <f>'SGTO POAI 2024 ARMONIZADO'!AW8</f>
        <v>58250000</v>
      </c>
      <c r="M6" s="166">
        <f t="shared" si="1"/>
        <v>1</v>
      </c>
    </row>
    <row r="7" spans="1:13" s="142" customFormat="1" ht="101.25" customHeight="1" x14ac:dyDescent="0.25">
      <c r="A7" s="108">
        <v>304</v>
      </c>
      <c r="B7" s="108">
        <f>'SGTO POAI 2024 ARMONIZADO'!E11</f>
        <v>4</v>
      </c>
      <c r="C7" s="109" t="str">
        <f>'SGTO POAI 2024 ARMONIZADO'!F11</f>
        <v xml:space="preserve">Gobernabilidad, Fortalecimiento Institucional y Seguridad. “Quindío territorio seguro y confiable” </v>
      </c>
      <c r="D7" s="108">
        <v>4599</v>
      </c>
      <c r="E7" s="110" t="s">
        <v>23</v>
      </c>
      <c r="F7" s="108">
        <f t="shared" si="2"/>
        <v>4</v>
      </c>
      <c r="G7" s="108">
        <f>'SGTO POAI 2024 ARMONIZADO'!R9</f>
        <v>2024003630006</v>
      </c>
      <c r="H7" s="110" t="str">
        <f>'SGTO POAI 2024 ARMONIZADO'!S9</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I7" s="224">
        <f>'SGTO POAI 2024 ARMONIZADO'!AU9</f>
        <v>188100000</v>
      </c>
      <c r="J7" s="224">
        <f>'SGTO POAI 2024 ARMONIZADO'!AV9</f>
        <v>188080001</v>
      </c>
      <c r="K7" s="167">
        <f t="shared" si="0"/>
        <v>0.99989367889420522</v>
      </c>
      <c r="L7" s="224">
        <f>'SGTO POAI 2024 ARMONIZADO'!AW9</f>
        <v>98300000</v>
      </c>
      <c r="M7" s="166">
        <f t="shared" si="1"/>
        <v>0.52259436469962783</v>
      </c>
    </row>
    <row r="8" spans="1:13" s="142" customFormat="1" ht="48.75" customHeight="1" x14ac:dyDescent="0.25">
      <c r="A8" s="108">
        <v>304</v>
      </c>
      <c r="B8" s="108">
        <f>'SGTO POAI 2024 ARMONIZADO'!E12</f>
        <v>4</v>
      </c>
      <c r="C8" s="109" t="str">
        <f>'SGTO POAI 2024 ARMONIZADO'!F12</f>
        <v xml:space="preserve">Gobernabilidad, Fortalecimiento Institucional y Seguridad. “Quindío territorio seguro y confiable” </v>
      </c>
      <c r="D8" s="108">
        <v>4599</v>
      </c>
      <c r="E8" s="110" t="s">
        <v>23</v>
      </c>
      <c r="F8" s="108">
        <f t="shared" si="2"/>
        <v>5</v>
      </c>
      <c r="G8" s="108">
        <f>'SGTO POAI 2024 ARMONIZADO'!R10</f>
        <v>2020003630007</v>
      </c>
      <c r="H8" s="110" t="str">
        <f>'SGTO POAI 2024 ARMONIZADO'!S10</f>
        <v xml:space="preserve">Actualización, depuración, seguimiento y evaluación del Pasivo Pensional de la Administración Departamental del Quindío </v>
      </c>
      <c r="I8" s="224">
        <f>'SGTO POAI 2024 ARMONIZADO'!AU10</f>
        <v>52800000</v>
      </c>
      <c r="J8" s="224">
        <f>'SGTO POAI 2024 ARMONIZADO'!AV10</f>
        <v>52800000</v>
      </c>
      <c r="K8" s="167">
        <f t="shared" si="0"/>
        <v>1</v>
      </c>
      <c r="L8" s="224">
        <f>'SGTO POAI 2024 ARMONIZADO'!AW10</f>
        <v>52800000</v>
      </c>
      <c r="M8" s="166">
        <f t="shared" si="1"/>
        <v>1</v>
      </c>
    </row>
    <row r="9" spans="1:13" s="142" customFormat="1" ht="52.5" customHeight="1" x14ac:dyDescent="0.25">
      <c r="A9" s="108">
        <v>304</v>
      </c>
      <c r="B9" s="108">
        <f>'SGTO POAI 2024 ARMONIZADO'!E13</f>
        <v>4</v>
      </c>
      <c r="C9" s="109" t="str">
        <f>'SGTO POAI 2024 ARMONIZADO'!F13</f>
        <v xml:space="preserve">Gobernabilidad, Fortalecimiento Institucional y Seguridad. “Quindío territorio seguro y confiable” </v>
      </c>
      <c r="D9" s="108">
        <v>4599</v>
      </c>
      <c r="E9" s="110" t="s">
        <v>23</v>
      </c>
      <c r="F9" s="108">
        <f t="shared" si="2"/>
        <v>6</v>
      </c>
      <c r="G9" s="108">
        <f>'SGTO POAI 2024 ARMONIZADO'!R11</f>
        <v>2024003630009</v>
      </c>
      <c r="H9" s="110" t="str">
        <f>'SGTO POAI 2024 ARMONIZADO'!S11</f>
        <v>Actualización, depuración, seguimiento y evaluación del pasivo pensional del Gobierno Departamental del Quindío</v>
      </c>
      <c r="I9" s="224">
        <f>'SGTO POAI 2024 ARMONIZADO'!AU11</f>
        <v>87300000</v>
      </c>
      <c r="J9" s="224">
        <f>'SGTO POAI 2024 ARMONIZADO'!AV11</f>
        <v>87260000</v>
      </c>
      <c r="K9" s="167">
        <f t="shared" si="0"/>
        <v>0.9995418098510882</v>
      </c>
      <c r="L9" s="224">
        <f>'SGTO POAI 2024 ARMONIZADO'!AW11</f>
        <v>45800000</v>
      </c>
      <c r="M9" s="166">
        <f t="shared" si="1"/>
        <v>0.52462772050400919</v>
      </c>
    </row>
    <row r="10" spans="1:13" s="142" customFormat="1" ht="60" customHeight="1" x14ac:dyDescent="0.25">
      <c r="A10" s="108">
        <v>304</v>
      </c>
      <c r="B10" s="108">
        <f>'SGTO POAI 2024 ARMONIZADO'!E14</f>
        <v>4</v>
      </c>
      <c r="C10" s="109" t="str">
        <f>'SGTO POAI 2024 ARMONIZADO'!F14</f>
        <v xml:space="preserve">Gobernabilidad, Fortalecimiento Institucional y Seguridad. “Quindío territorio seguro y confiable” </v>
      </c>
      <c r="D10" s="108">
        <v>4599</v>
      </c>
      <c r="E10" s="110" t="s">
        <v>23</v>
      </c>
      <c r="F10" s="108">
        <f t="shared" si="2"/>
        <v>7</v>
      </c>
      <c r="G10" s="108">
        <f>'SGTO POAI 2024 ARMONIZADO'!R12</f>
        <v>2022003630011</v>
      </c>
      <c r="H10" s="110" t="str">
        <f>'SGTO POAI 2024 ARMONIZADO'!S12</f>
        <v>Fortalecimiento del sistema de gestión documental mediante la modernización locativa y tecnológica para garantizar el acceso a la información oportuna y eficiente en el departamento del Quindío</v>
      </c>
      <c r="I10" s="224">
        <f>'SGTO POAI 2024 ARMONIZADO'!AU12</f>
        <v>12900000.000000002</v>
      </c>
      <c r="J10" s="224">
        <f>'SGTO POAI 2024 ARMONIZADO'!AV12</f>
        <v>12900000</v>
      </c>
      <c r="K10" s="167">
        <f t="shared" si="0"/>
        <v>0.99999999999999989</v>
      </c>
      <c r="L10" s="224">
        <f>'SGTO POAI 2024 ARMONIZADO'!AW12</f>
        <v>12900000</v>
      </c>
      <c r="M10" s="166">
        <f t="shared" si="1"/>
        <v>0.99999999999999989</v>
      </c>
    </row>
    <row r="11" spans="1:13" s="142" customFormat="1" ht="68.25" customHeight="1" x14ac:dyDescent="0.25">
      <c r="A11" s="108">
        <v>304</v>
      </c>
      <c r="B11" s="108">
        <f>'SGTO POAI 2024 ARMONIZADO'!E15</f>
        <v>4</v>
      </c>
      <c r="C11" s="109" t="str">
        <f>'SGTO POAI 2024 ARMONIZADO'!F15</f>
        <v xml:space="preserve">Gobernabilidad, Fortalecimiento Institucional y Seguridad. “Quindío territorio seguro y confiable” </v>
      </c>
      <c r="D11" s="108">
        <v>4599</v>
      </c>
      <c r="E11" s="110" t="s">
        <v>23</v>
      </c>
      <c r="F11" s="108">
        <f t="shared" si="2"/>
        <v>8</v>
      </c>
      <c r="G11" s="108">
        <f>'SGTO POAI 2024 ARMONIZADO'!R13</f>
        <v>2024003630008</v>
      </c>
      <c r="H11" s="110" t="str">
        <f>'SGTO POAI 2024 ARMONIZADO'!S13</f>
        <v>Fortalecimiento del sistema de gestión documental mediante la modernización archivistica, locativa y tecnológica para garantizar el acceso a la información oportuna y eficiente en el Departamento del Quindío.</v>
      </c>
      <c r="I11" s="224">
        <f>'SGTO POAI 2024 ARMONIZADO'!AU13</f>
        <v>66800000</v>
      </c>
      <c r="J11" s="224">
        <f>'SGTO POAI 2024 ARMONIZADO'!AV13</f>
        <v>66800000</v>
      </c>
      <c r="K11" s="167">
        <f t="shared" si="0"/>
        <v>1</v>
      </c>
      <c r="L11" s="224">
        <f>'SGTO POAI 2024 ARMONIZADO'!AW13</f>
        <v>26700000</v>
      </c>
      <c r="M11" s="166">
        <f t="shared" si="1"/>
        <v>0.39970059880239522</v>
      </c>
    </row>
    <row r="12" spans="1:13" s="142" customFormat="1" ht="26.25" customHeight="1" x14ac:dyDescent="0.25">
      <c r="A12" s="16">
        <v>305</v>
      </c>
      <c r="B12" s="16"/>
      <c r="C12" s="16"/>
      <c r="D12" s="187"/>
      <c r="E12" s="12"/>
      <c r="F12" s="5"/>
      <c r="G12" s="5" t="s">
        <v>1126</v>
      </c>
      <c r="H12" s="180"/>
      <c r="I12" s="223">
        <f>SUM(I13:I25)</f>
        <v>1638372589.23</v>
      </c>
      <c r="J12" s="223">
        <f>SUM(J13:J25)</f>
        <v>1572946858</v>
      </c>
      <c r="K12" s="168">
        <f t="shared" si="0"/>
        <v>0.96006663462262343</v>
      </c>
      <c r="L12" s="223">
        <f>SUM(L13:L25)</f>
        <v>1044668456</v>
      </c>
      <c r="M12" s="168">
        <f t="shared" si="1"/>
        <v>0.63762569202343145</v>
      </c>
    </row>
    <row r="13" spans="1:13" s="142" customFormat="1" ht="60" customHeight="1" x14ac:dyDescent="0.25">
      <c r="A13" s="108">
        <v>305</v>
      </c>
      <c r="B13" s="108">
        <f>'SGTO POAI 2024 ARMONIZADO'!E16</f>
        <v>4</v>
      </c>
      <c r="C13" s="109" t="str">
        <f>'SGTO POAI 2024 ARMONIZADO'!F16</f>
        <v xml:space="preserve">Gobernabilidad, Fortalecimiento Institucional y Seguridad. “Quindío territorio seguro y confiable” </v>
      </c>
      <c r="D13" s="108">
        <v>4502</v>
      </c>
      <c r="E13" s="110" t="s">
        <v>49</v>
      </c>
      <c r="F13" s="108">
        <f>F11+1</f>
        <v>9</v>
      </c>
      <c r="G13" s="108">
        <v>2020003630042</v>
      </c>
      <c r="H13" s="110" t="s">
        <v>61</v>
      </c>
      <c r="I13" s="224">
        <f>'SGTO POAI 2024 ARMONIZADO'!AU16</f>
        <v>90000000</v>
      </c>
      <c r="J13" s="224">
        <f>'SGTO POAI 2024 ARMONIZADO'!AV16</f>
        <v>90000000</v>
      </c>
      <c r="K13" s="167">
        <f t="shared" si="0"/>
        <v>1</v>
      </c>
      <c r="L13" s="224">
        <f>'SGTO POAI 2024 ARMONIZADO'!AW16</f>
        <v>24487250</v>
      </c>
      <c r="M13" s="166">
        <f t="shared" si="1"/>
        <v>0.27208055555555555</v>
      </c>
    </row>
    <row r="14" spans="1:13" s="142" customFormat="1" ht="60" customHeight="1" x14ac:dyDescent="0.25">
      <c r="A14" s="108">
        <v>305</v>
      </c>
      <c r="B14" s="108">
        <f>'SGTO POAI 2024 ARMONIZADO'!E17</f>
        <v>4</v>
      </c>
      <c r="C14" s="109" t="str">
        <f>'SGTO POAI 2024 ARMONIZADO'!F17</f>
        <v xml:space="preserve">Gobernabilidad, Fortalecimiento Institucional y Seguridad. “Quindío territorio seguro y confiable” </v>
      </c>
      <c r="D14" s="108">
        <v>4502</v>
      </c>
      <c r="E14" s="110" t="s">
        <v>49</v>
      </c>
      <c r="F14" s="108">
        <f t="shared" ref="F14:F25" si="3">F13+1</f>
        <v>10</v>
      </c>
      <c r="G14" s="108">
        <v>2024003630072</v>
      </c>
      <c r="H14" s="110" t="s">
        <v>64</v>
      </c>
      <c r="I14" s="224">
        <f>'SGTO POAI 2024 ARMONIZADO'!AU17</f>
        <v>110000000</v>
      </c>
      <c r="J14" s="224">
        <f>'SGTO POAI 2024 ARMONIZADO'!AV17</f>
        <v>90304000</v>
      </c>
      <c r="K14" s="167">
        <f t="shared" si="0"/>
        <v>0.82094545454545453</v>
      </c>
      <c r="L14" s="224">
        <f>'SGTO POAI 2024 ARMONIZADO'!AW17</f>
        <v>3000000</v>
      </c>
      <c r="M14" s="166">
        <f t="shared" si="1"/>
        <v>2.7272727272727271E-2</v>
      </c>
    </row>
    <row r="15" spans="1:13" s="142" customFormat="1" ht="60" customHeight="1" x14ac:dyDescent="0.25">
      <c r="A15" s="108">
        <v>305</v>
      </c>
      <c r="B15" s="108">
        <f>'SGTO POAI 2024 ARMONIZADO'!E18</f>
        <v>4</v>
      </c>
      <c r="C15" s="109" t="str">
        <f>'SGTO POAI 2024 ARMONIZADO'!F18</f>
        <v xml:space="preserve">Gobernabilidad, Fortalecimiento Institucional y Seguridad. “Quindío territorio seguro y confiable” </v>
      </c>
      <c r="D15" s="108">
        <v>4599</v>
      </c>
      <c r="E15" s="110" t="s">
        <v>23</v>
      </c>
      <c r="F15" s="108">
        <f t="shared" si="3"/>
        <v>11</v>
      </c>
      <c r="G15" s="108">
        <v>2020003630044</v>
      </c>
      <c r="H15" s="110" t="s">
        <v>68</v>
      </c>
      <c r="I15" s="224">
        <f>'SGTO POAI 2024 ARMONIZADO'!AU18</f>
        <v>73100000</v>
      </c>
      <c r="J15" s="224">
        <f>'SGTO POAI 2024 ARMONIZADO'!AV18</f>
        <v>63899999</v>
      </c>
      <c r="K15" s="167">
        <f t="shared" si="0"/>
        <v>0.87414499316005467</v>
      </c>
      <c r="L15" s="224">
        <f>'SGTO POAI 2024 ARMONIZADO'!AW18</f>
        <v>63899999</v>
      </c>
      <c r="M15" s="166">
        <f t="shared" si="1"/>
        <v>0.87414499316005467</v>
      </c>
    </row>
    <row r="16" spans="1:13" s="142" customFormat="1" ht="60" customHeight="1" x14ac:dyDescent="0.25">
      <c r="A16" s="108">
        <v>305</v>
      </c>
      <c r="B16" s="108">
        <f>'SGTO POAI 2024 ARMONIZADO'!E19</f>
        <v>4</v>
      </c>
      <c r="C16" s="109" t="str">
        <f>'SGTO POAI 2024 ARMONIZADO'!F19</f>
        <v xml:space="preserve">Gobernabilidad, Fortalecimiento Institucional y Seguridad. “Quindío territorio seguro y confiable” </v>
      </c>
      <c r="D16" s="108">
        <v>4599</v>
      </c>
      <c r="E16" s="110" t="s">
        <v>23</v>
      </c>
      <c r="F16" s="108">
        <f t="shared" si="3"/>
        <v>12</v>
      </c>
      <c r="G16" s="108">
        <f>'SGTO POAI 2024 ARMONIZADO'!R19</f>
        <v>2024003630119</v>
      </c>
      <c r="H16" s="110" t="str">
        <f>'SGTO POAI 2024 ARMONIZADO'!S19</f>
        <v>Fortalecimiento de los procesos de apoyo, asesoría y seguimiento en programas para la planificación de la gestión territorial en los municipios del Departamento del Quindío</v>
      </c>
      <c r="I16" s="224">
        <f>SUM('SGTO POAI 2024 ARMONIZADO'!AU19:AU20)</f>
        <v>96900000</v>
      </c>
      <c r="J16" s="224">
        <f>SUM('SGTO POAI 2024 ARMONIZADO'!AV19:AV20)</f>
        <v>96896900</v>
      </c>
      <c r="K16" s="167">
        <f t="shared" si="0"/>
        <v>0.9999680082559339</v>
      </c>
      <c r="L16" s="224">
        <f>SUM('SGTO POAI 2024 ARMONIZADO'!AW19:AW20)</f>
        <v>53300000</v>
      </c>
      <c r="M16" s="166">
        <f t="shared" si="1"/>
        <v>0.55005159958720329</v>
      </c>
    </row>
    <row r="17" spans="1:13" s="142" customFormat="1" ht="48.75" customHeight="1" x14ac:dyDescent="0.25">
      <c r="A17" s="108">
        <v>305</v>
      </c>
      <c r="B17" s="108">
        <f>'SGTO POAI 2024 ARMONIZADO'!E20</f>
        <v>4</v>
      </c>
      <c r="C17" s="109" t="str">
        <f>'SGTO POAI 2024 ARMONIZADO'!F20</f>
        <v xml:space="preserve">Gobernabilidad, Fortalecimiento Institucional y Seguridad. “Quindío territorio seguro y confiable” </v>
      </c>
      <c r="D17" s="108">
        <v>4599</v>
      </c>
      <c r="E17" s="110" t="s">
        <v>23</v>
      </c>
      <c r="F17" s="108">
        <f t="shared" si="3"/>
        <v>13</v>
      </c>
      <c r="G17" s="108">
        <f>'SGTO POAI 2024 ARMONIZADO'!R21</f>
        <v>2020003630045</v>
      </c>
      <c r="H17" s="110" t="str">
        <f>'SGTO POAI 2024 ARMONIZADO'!S21</f>
        <v>Implementación del Observatorio Económico  de la Administración Departamental del Quindío "TU Y YO SOMOS QUINDIO"</v>
      </c>
      <c r="I17" s="224">
        <f>'SGTO POAI 2024 ARMONIZADO'!AU21</f>
        <v>64750000</v>
      </c>
      <c r="J17" s="224">
        <f>'SGTO POAI 2024 ARMONIZADO'!AV21</f>
        <v>64750000</v>
      </c>
      <c r="K17" s="167">
        <f t="shared" si="0"/>
        <v>1</v>
      </c>
      <c r="L17" s="224">
        <f>'SGTO POAI 2024 ARMONIZADO'!AW21</f>
        <v>64750000</v>
      </c>
      <c r="M17" s="166">
        <f t="shared" si="1"/>
        <v>1</v>
      </c>
    </row>
    <row r="18" spans="1:13" s="142" customFormat="1" ht="60" customHeight="1" x14ac:dyDescent="0.25">
      <c r="A18" s="108">
        <v>305</v>
      </c>
      <c r="B18" s="108">
        <f>'SGTO POAI 2024 ARMONIZADO'!E21</f>
        <v>4</v>
      </c>
      <c r="C18" s="109" t="str">
        <f>'SGTO POAI 2024 ARMONIZADO'!F21</f>
        <v xml:space="preserve">Gobernabilidad, Fortalecimiento Institucional y Seguridad. “Quindío territorio seguro y confiable” </v>
      </c>
      <c r="D18" s="108">
        <v>4599</v>
      </c>
      <c r="E18" s="110" t="s">
        <v>23</v>
      </c>
      <c r="F18" s="108">
        <f t="shared" si="3"/>
        <v>14</v>
      </c>
      <c r="G18" s="108">
        <f>'SGTO POAI 2024 ARMONIZADO'!R22</f>
        <v>2024003630066</v>
      </c>
      <c r="H18" s="110" t="str">
        <f>'SGTO POAI 2024 ARMONIZADO'!S22</f>
        <v>Implementación de los Sistemas de información para la generación de datos de manera accesible, confiable y oportuna en el Departamento del Quindío</v>
      </c>
      <c r="I18" s="224">
        <f>SUM('SGTO POAI 2024 ARMONIZADO'!AU22:AU23)</f>
        <v>126045771</v>
      </c>
      <c r="J18" s="224">
        <f>SUM('SGTO POAI 2024 ARMONIZADO'!AV22:AV23)</f>
        <v>120881457</v>
      </c>
      <c r="K18" s="167">
        <f t="shared" si="0"/>
        <v>0.95902826442308797</v>
      </c>
      <c r="L18" s="224">
        <f>SUM('SGTO POAI 2024 ARMONIZADO'!AW22:AW23)</f>
        <v>33900000</v>
      </c>
      <c r="M18" s="166">
        <f t="shared" si="1"/>
        <v>0.26894991978747151</v>
      </c>
    </row>
    <row r="19" spans="1:13" s="142" customFormat="1" ht="51.75" customHeight="1" x14ac:dyDescent="0.25">
      <c r="A19" s="108">
        <v>305</v>
      </c>
      <c r="B19" s="108">
        <f>'SGTO POAI 2024 ARMONIZADO'!E22</f>
        <v>4</v>
      </c>
      <c r="C19" s="109" t="str">
        <f>'SGTO POAI 2024 ARMONIZADO'!F22</f>
        <v xml:space="preserve">Gobernabilidad, Fortalecimiento Institucional y Seguridad. “Quindío territorio seguro y confiable” </v>
      </c>
      <c r="D19" s="108">
        <v>4599</v>
      </c>
      <c r="E19" s="110" t="s">
        <v>23</v>
      </c>
      <c r="F19" s="108">
        <f t="shared" si="3"/>
        <v>15</v>
      </c>
      <c r="G19" s="108">
        <f>'SGTO POAI 2024 ARMONIZADO'!R24</f>
        <v>2020003630046</v>
      </c>
      <c r="H19" s="110" t="str">
        <f>'SGTO POAI 2024 ARMONIZADO'!S24</f>
        <v>Fortalecimiento del Banco de Programas y Proyectos de la administración departamental  "TÚ Y YO SOMOS QUINDIO"</v>
      </c>
      <c r="I19" s="224">
        <f>'SGTO POAI 2024 ARMONIZADO'!AU24</f>
        <v>260100000</v>
      </c>
      <c r="J19" s="224">
        <f>'SGTO POAI 2024 ARMONIZADO'!AV24</f>
        <v>260100000</v>
      </c>
      <c r="K19" s="167">
        <f t="shared" si="0"/>
        <v>1</v>
      </c>
      <c r="L19" s="224">
        <f>'SGTO POAI 2024 ARMONIZADO'!AW24</f>
        <v>251500000</v>
      </c>
      <c r="M19" s="166">
        <f t="shared" si="1"/>
        <v>0.96693579392541329</v>
      </c>
    </row>
    <row r="20" spans="1:13" s="142" customFormat="1" ht="45.75" customHeight="1" x14ac:dyDescent="0.25">
      <c r="A20" s="108">
        <v>305</v>
      </c>
      <c r="B20" s="108">
        <f>'SGTO POAI 2024 ARMONIZADO'!E23</f>
        <v>4</v>
      </c>
      <c r="C20" s="109" t="str">
        <f>'SGTO POAI 2024 ARMONIZADO'!F23</f>
        <v xml:space="preserve">Gobernabilidad, Fortalecimiento Institucional y Seguridad. “Quindío territorio seguro y confiable” </v>
      </c>
      <c r="D20" s="108">
        <v>4599</v>
      </c>
      <c r="E20" s="110" t="s">
        <v>23</v>
      </c>
      <c r="F20" s="108">
        <f t="shared" si="3"/>
        <v>16</v>
      </c>
      <c r="G20" s="108">
        <f>'SGTO POAI 2024 ARMONIZADO'!R25</f>
        <v>2024003630035</v>
      </c>
      <c r="H20" s="110" t="str">
        <f>'SGTO POAI 2024 ARMONIZADO'!S25</f>
        <v>Implementación del Banco de Programas y Proyectos en la administración del departamento del Quindío</v>
      </c>
      <c r="I20" s="224">
        <f>SUM('SGTO POAI 2024 ARMONIZADO'!AU25:AU26)</f>
        <v>242872589.23000002</v>
      </c>
      <c r="J20" s="224">
        <f>SUM('SGTO POAI 2024 ARMONIZADO'!AV25:AV26)</f>
        <v>239746663</v>
      </c>
      <c r="K20" s="167">
        <f t="shared" si="0"/>
        <v>0.98712935766069598</v>
      </c>
      <c r="L20" s="224">
        <f>SUM('SGTO POAI 2024 ARMONIZADO'!AW25:AW26)</f>
        <v>125500000</v>
      </c>
      <c r="M20" s="166">
        <f t="shared" si="1"/>
        <v>0.51673184033605235</v>
      </c>
    </row>
    <row r="21" spans="1:13" s="142" customFormat="1" ht="46.5" customHeight="1" x14ac:dyDescent="0.25">
      <c r="A21" s="108">
        <v>305</v>
      </c>
      <c r="B21" s="108">
        <f>'SGTO POAI 2024 ARMONIZADO'!E24</f>
        <v>4</v>
      </c>
      <c r="C21" s="109" t="str">
        <f>'SGTO POAI 2024 ARMONIZADO'!F24</f>
        <v xml:space="preserve">Gobernabilidad, Fortalecimiento Institucional y Seguridad. “Quindío territorio seguro y confiable” </v>
      </c>
      <c r="D21" s="108">
        <v>4599</v>
      </c>
      <c r="E21" s="110" t="s">
        <v>23</v>
      </c>
      <c r="F21" s="108">
        <f t="shared" si="3"/>
        <v>17</v>
      </c>
      <c r="G21" s="108">
        <f>'SGTO POAI 2024 ARMONIZADO'!R27</f>
        <v>2020003630047</v>
      </c>
      <c r="H21" s="110" t="str">
        <f>'SGTO POAI 2024 ARMONIZADO'!S27</f>
        <v>Asistencia Técnica  en  Instrumentos de Planificación y gestión  territorial en los  municipios del Departamento del  Quindío.</v>
      </c>
      <c r="I21" s="224">
        <f>SUM('SGTO POAI 2024 ARMONIZADO'!AU27:AU30)</f>
        <v>67500000</v>
      </c>
      <c r="J21" s="224">
        <f>SUM('SGTO POAI 2024 ARMONIZADO'!AV27:AV30)</f>
        <v>67500000</v>
      </c>
      <c r="K21" s="167">
        <f t="shared" si="0"/>
        <v>1</v>
      </c>
      <c r="L21" s="224">
        <f>SUM('SGTO POAI 2024 ARMONIZADO'!AW27:AW30)</f>
        <v>67500000</v>
      </c>
      <c r="M21" s="166">
        <f t="shared" si="1"/>
        <v>1</v>
      </c>
    </row>
    <row r="22" spans="1:13" s="142" customFormat="1" ht="82.5" customHeight="1" x14ac:dyDescent="0.25">
      <c r="A22" s="108">
        <v>305</v>
      </c>
      <c r="B22" s="108">
        <f>'SGTO POAI 2024 ARMONIZADO'!E25</f>
        <v>4</v>
      </c>
      <c r="C22" s="109" t="str">
        <f>'SGTO POAI 2024 ARMONIZADO'!F25</f>
        <v xml:space="preserve">Gobernabilidad, Fortalecimiento Institucional y Seguridad. “Quindío territorio seguro y confiable” </v>
      </c>
      <c r="D22" s="108">
        <v>4599</v>
      </c>
      <c r="E22" s="110" t="s">
        <v>23</v>
      </c>
      <c r="F22" s="108">
        <f t="shared" si="3"/>
        <v>18</v>
      </c>
      <c r="G22" s="108">
        <f>'SGTO POAI 2024 ARMONIZADO'!R31</f>
        <v>2024003630041</v>
      </c>
      <c r="H22" s="110" t="str">
        <f>'SGTO POAI 2024 ARMONIZADO'!S31</f>
        <v>Fortalecimiento de los procesos de asistencia Técnica  en  herramientas de gestión y conocimiento de políticas, planes, programas y proyectos, para el incremento del indice de gestión y desempeño de los entes  territoriales del Departamento del  Quindío.</v>
      </c>
      <c r="I22" s="224">
        <f>'SGTO POAI 2024 ARMONIZADO'!AU31</f>
        <v>136073022</v>
      </c>
      <c r="J22" s="224">
        <f>'SGTO POAI 2024 ARMONIZADO'!AV31</f>
        <v>114266633</v>
      </c>
      <c r="K22" s="167">
        <f t="shared" si="0"/>
        <v>0.83974494959037504</v>
      </c>
      <c r="L22" s="224">
        <f>'SGTO POAI 2024 ARMONIZADO'!AW31</f>
        <v>51800000</v>
      </c>
      <c r="M22" s="166">
        <f t="shared" si="1"/>
        <v>0.38067795686936384</v>
      </c>
    </row>
    <row r="23" spans="1:13" s="142" customFormat="1" ht="60" customHeight="1" x14ac:dyDescent="0.25">
      <c r="A23" s="108">
        <v>305</v>
      </c>
      <c r="B23" s="108">
        <f>'SGTO POAI 2024 ARMONIZADO'!E26</f>
        <v>4</v>
      </c>
      <c r="C23" s="109" t="str">
        <f>'SGTO POAI 2024 ARMONIZADO'!F26</f>
        <v xml:space="preserve">Gobernabilidad, Fortalecimiento Institucional y Seguridad. “Quindío territorio seguro y confiable” </v>
      </c>
      <c r="D23" s="108">
        <v>4599</v>
      </c>
      <c r="E23" s="110" t="s">
        <v>23</v>
      </c>
      <c r="F23" s="108">
        <f t="shared" si="3"/>
        <v>19</v>
      </c>
      <c r="G23" s="108">
        <f>'SGTO POAI 2024 ARMONIZADO'!R32</f>
        <v>2024003630037</v>
      </c>
      <c r="H23" s="110" t="str">
        <f>'SGTO POAI 2024 ARMONIZADO'!S32</f>
        <v xml:space="preserve">Implementación del Sistemas de Gestión y de Desempeño Institucional en el marco del Modelo Integrado de Planeación y Gestión - MIPG en la Administración Departamental del Quindío </v>
      </c>
      <c r="I23" s="224">
        <f>SUM('SGTO POAI 2024 ARMONIZADO'!AU32)</f>
        <v>58770000</v>
      </c>
      <c r="J23" s="224">
        <f>SUM('SGTO POAI 2024 ARMONIZADO'!AV32)</f>
        <v>52339999</v>
      </c>
      <c r="K23" s="167">
        <f t="shared" si="0"/>
        <v>0.89059042028245705</v>
      </c>
      <c r="L23" s="224">
        <f>SUM('SGTO POAI 2024 ARMONIZADO'!AW32)</f>
        <v>12900000</v>
      </c>
      <c r="M23" s="166">
        <f t="shared" si="1"/>
        <v>0.21949974476773865</v>
      </c>
    </row>
    <row r="24" spans="1:13" s="142" customFormat="1" ht="73.5" customHeight="1" x14ac:dyDescent="0.25">
      <c r="A24" s="108">
        <v>305</v>
      </c>
      <c r="B24" s="108">
        <f>'SGTO POAI 2024 ARMONIZADO'!E27</f>
        <v>4</v>
      </c>
      <c r="C24" s="109" t="str">
        <f>'SGTO POAI 2024 ARMONIZADO'!F27</f>
        <v xml:space="preserve">Gobernabilidad, Fortalecimiento Institucional y Seguridad. “Quindío territorio seguro y confiable” </v>
      </c>
      <c r="D24" s="108">
        <v>4599</v>
      </c>
      <c r="E24" s="110" t="s">
        <v>23</v>
      </c>
      <c r="F24" s="108">
        <f t="shared" si="3"/>
        <v>20</v>
      </c>
      <c r="G24" s="108">
        <f>'SGTO POAI 2024 ARMONIZADO'!R33</f>
        <v>2024003630038</v>
      </c>
      <c r="H24" s="110" t="str">
        <f>'SGTO POAI 2024 ARMONIZADO'!S33</f>
        <v xml:space="preserve">Implementacion procesos de seguimiento, análiis de resultados e impactos de las politicas públicas, planes y programas de la administración departamental y Entes Descentralizados del departamento del Quindío </v>
      </c>
      <c r="I24" s="224">
        <f>SUM('SGTO POAI 2024 ARMONIZADO'!AU33)</f>
        <v>57030000</v>
      </c>
      <c r="J24" s="224">
        <f>SUM('SGTO POAI 2024 ARMONIZADO'!AV33)</f>
        <v>57030000</v>
      </c>
      <c r="K24" s="167">
        <f t="shared" si="0"/>
        <v>1</v>
      </c>
      <c r="L24" s="224">
        <f>SUM('SGTO POAI 2024 ARMONIZADO'!AW33)</f>
        <v>36900000</v>
      </c>
      <c r="M24" s="166">
        <f t="shared" si="1"/>
        <v>0.64702788006312462</v>
      </c>
    </row>
    <row r="25" spans="1:13" s="142" customFormat="1" ht="35.25" customHeight="1" x14ac:dyDescent="0.25">
      <c r="A25" s="108">
        <v>305</v>
      </c>
      <c r="B25" s="108">
        <f>'SGTO POAI 2024 ARMONIZADO'!E28</f>
        <v>4</v>
      </c>
      <c r="C25" s="109" t="str">
        <f>'SGTO POAI 2024 ARMONIZADO'!F28</f>
        <v xml:space="preserve">Gobernabilidad, Fortalecimiento Institucional y Seguridad. “Quindío territorio seguro y confiable” </v>
      </c>
      <c r="D25" s="108">
        <v>4599</v>
      </c>
      <c r="E25" s="110" t="s">
        <v>23</v>
      </c>
      <c r="F25" s="108">
        <f t="shared" si="3"/>
        <v>21</v>
      </c>
      <c r="G25" s="108">
        <f>'SGTO POAI 2024 ARMONIZADO'!R34</f>
        <v>2023003630007</v>
      </c>
      <c r="H25" s="110" t="str">
        <f>'SGTO POAI 2024 ARMONIZADO'!S34</f>
        <v>Formulación  Plan de Desarrollo Departamental 2024-2027</v>
      </c>
      <c r="I25" s="224">
        <f>SUM('SGTO POAI 2024 ARMONIZADO'!AU34)</f>
        <v>255231207</v>
      </c>
      <c r="J25" s="224">
        <f>SUM('SGTO POAI 2024 ARMONIZADO'!AV34)</f>
        <v>255231207</v>
      </c>
      <c r="K25" s="167">
        <f t="shared" si="0"/>
        <v>1</v>
      </c>
      <c r="L25" s="224">
        <f>SUM('SGTO POAI 2024 ARMONIZADO'!AW34)</f>
        <v>255231207</v>
      </c>
      <c r="M25" s="166">
        <f t="shared" si="1"/>
        <v>1</v>
      </c>
    </row>
    <row r="26" spans="1:13" s="142" customFormat="1" ht="27.75" customHeight="1" x14ac:dyDescent="0.25">
      <c r="A26" s="16">
        <v>307</v>
      </c>
      <c r="B26" s="16"/>
      <c r="C26" s="16"/>
      <c r="D26" s="187"/>
      <c r="E26" s="12"/>
      <c r="F26" s="5" t="s">
        <v>1127</v>
      </c>
      <c r="G26" s="6"/>
      <c r="H26" s="10"/>
      <c r="I26" s="223">
        <f>SUM(I27:I29)</f>
        <v>5094906273.3999996</v>
      </c>
      <c r="J26" s="223">
        <f>SUM(J27:J29)</f>
        <v>4186848135.5799999</v>
      </c>
      <c r="K26" s="168">
        <f t="shared" si="0"/>
        <v>0.82177137535171529</v>
      </c>
      <c r="L26" s="223">
        <f>SUM(L27:L29)</f>
        <v>3168717985.6000004</v>
      </c>
      <c r="M26" s="168">
        <f t="shared" si="1"/>
        <v>0.62193842547085953</v>
      </c>
    </row>
    <row r="27" spans="1:13" s="142" customFormat="1" ht="52.5" customHeight="1" x14ac:dyDescent="0.25">
      <c r="A27" s="108">
        <v>307</v>
      </c>
      <c r="B27" s="108">
        <f>'SGTO POAI 2024 ARMONIZADO'!E35</f>
        <v>4</v>
      </c>
      <c r="C27" s="109" t="str">
        <f>'SGTO POAI 2024 ARMONIZADO'!F35</f>
        <v xml:space="preserve">Gobernabilidad, Fortalecimiento Institucional y Seguridad. “Quindío territorio seguro y confiable” </v>
      </c>
      <c r="D27" s="108">
        <v>4599</v>
      </c>
      <c r="E27" s="110" t="s">
        <v>23</v>
      </c>
      <c r="F27" s="108">
        <f>F25+1</f>
        <v>22</v>
      </c>
      <c r="G27" s="108">
        <f>'SGTO POAI 2024 ARMONIZADO'!R35</f>
        <v>2020003630048</v>
      </c>
      <c r="H27" s="110" t="str">
        <f>'SGTO POAI 2024 ARMONIZADO'!S35</f>
        <v>Implementación de estrategias de fortalecimiento del desempeño fiscal de la Administración departamental del Quindío</v>
      </c>
      <c r="I27" s="225">
        <f>SUM('SGTO POAI 2024 ARMONIZADO'!AU35)</f>
        <v>1811094069</v>
      </c>
      <c r="J27" s="225">
        <f>SUM('SGTO POAI 2024 ARMONIZADO'!AV35)</f>
        <v>1811094069</v>
      </c>
      <c r="K27" s="169">
        <f t="shared" si="0"/>
        <v>1</v>
      </c>
      <c r="L27" s="225">
        <f>SUM('SGTO POAI 2024 ARMONIZADO'!AW35)</f>
        <v>1448524105.6100001</v>
      </c>
      <c r="M27" s="178">
        <f t="shared" si="1"/>
        <v>0.79980611189887352</v>
      </c>
    </row>
    <row r="28" spans="1:13" s="142" customFormat="1" ht="46.5" customHeight="1" x14ac:dyDescent="0.25">
      <c r="A28" s="108">
        <v>307</v>
      </c>
      <c r="B28" s="108">
        <f>'SGTO POAI 2024 ARMONIZADO'!E36</f>
        <v>4</v>
      </c>
      <c r="C28" s="109" t="str">
        <f>'SGTO POAI 2024 ARMONIZADO'!F36</f>
        <v xml:space="preserve">Gobernabilidad, Fortalecimiento Institucional y Seguridad. “Quindío territorio seguro y confiable” </v>
      </c>
      <c r="D28" s="108">
        <v>4599</v>
      </c>
      <c r="E28" s="110" t="s">
        <v>23</v>
      </c>
      <c r="F28" s="108">
        <f>F27+1</f>
        <v>23</v>
      </c>
      <c r="G28" s="108">
        <f>'SGTO POAI 2024 ARMONIZADO'!R36</f>
        <v>2020003630049</v>
      </c>
      <c r="H28" s="110" t="str">
        <f>'SGTO POAI 2024 ARMONIZADO'!S36</f>
        <v xml:space="preserve">Implementación  de  un programa para el cumplimiento de las políticas y prácticas contables de la administración departamental del Quindío.    </v>
      </c>
      <c r="I28" s="225">
        <f>SUM('SGTO POAI 2024 ARMONIZADO'!AU36)</f>
        <v>810290000</v>
      </c>
      <c r="J28" s="225">
        <f>SUM('SGTO POAI 2024 ARMONIZADO'!AV36)</f>
        <v>810290000</v>
      </c>
      <c r="K28" s="169">
        <f t="shared" si="0"/>
        <v>1</v>
      </c>
      <c r="L28" s="225">
        <f>SUM('SGTO POAI 2024 ARMONIZADO'!AW36)</f>
        <v>810290000</v>
      </c>
      <c r="M28" s="178">
        <f t="shared" si="1"/>
        <v>1</v>
      </c>
    </row>
    <row r="29" spans="1:13" s="142" customFormat="1" ht="50.25" customHeight="1" x14ac:dyDescent="0.25">
      <c r="A29" s="108">
        <v>307</v>
      </c>
      <c r="B29" s="108">
        <f>'SGTO POAI 2024 ARMONIZADO'!E37</f>
        <v>4</v>
      </c>
      <c r="C29" s="109" t="str">
        <f>'SGTO POAI 2024 ARMONIZADO'!F37</f>
        <v>Gobernabilidad, Fortalecimiento Institucional y Seguridad. “Quindío territorio seguro y confiable”</v>
      </c>
      <c r="D29" s="108">
        <v>4599</v>
      </c>
      <c r="E29" s="110" t="s">
        <v>23</v>
      </c>
      <c r="F29" s="108">
        <f>F28+1</f>
        <v>24</v>
      </c>
      <c r="G29" s="108">
        <f>'SGTO POAI 2024 ARMONIZADO'!R37</f>
        <v>2024003630014</v>
      </c>
      <c r="H29" s="110" t="str">
        <f>'SGTO POAI 2024 ARMONIZADO'!S37</f>
        <v>Implementación de estrategias de fortalecimiento del desempeño fiscal de la Administración departamental del Quindío</v>
      </c>
      <c r="I29" s="225">
        <f>SUM('SGTO POAI 2024 ARMONIZADO'!AU37:AU38)</f>
        <v>2473522204.4000001</v>
      </c>
      <c r="J29" s="225">
        <f>SUM('SGTO POAI 2024 ARMONIZADO'!AV37:AV38)</f>
        <v>1565464066.5799999</v>
      </c>
      <c r="K29" s="169">
        <f t="shared" si="0"/>
        <v>0.6328886248909712</v>
      </c>
      <c r="L29" s="225">
        <f>SUM('SGTO POAI 2024 ARMONIZADO'!AW37:AW38)</f>
        <v>909903879.99000001</v>
      </c>
      <c r="M29" s="178">
        <f t="shared" si="1"/>
        <v>0.36785757506903582</v>
      </c>
    </row>
    <row r="30" spans="1:13" s="142" customFormat="1" ht="22.5" customHeight="1" x14ac:dyDescent="0.25">
      <c r="A30" s="16">
        <v>308</v>
      </c>
      <c r="B30" s="16"/>
      <c r="C30" s="16"/>
      <c r="D30" s="187"/>
      <c r="E30" s="12"/>
      <c r="F30" s="5" t="s">
        <v>1128</v>
      </c>
      <c r="G30" s="6"/>
      <c r="H30" s="10"/>
      <c r="I30" s="223">
        <f>SUM(I31:I50)</f>
        <v>42528517537.059998</v>
      </c>
      <c r="J30" s="223">
        <f>SUM(J31:J50)</f>
        <v>22555338667.43</v>
      </c>
      <c r="K30" s="168">
        <f t="shared" si="0"/>
        <v>0.53035798033107862</v>
      </c>
      <c r="L30" s="223">
        <f>SUM(L31:L50)</f>
        <v>14183430408.35</v>
      </c>
      <c r="M30" s="168">
        <f t="shared" si="1"/>
        <v>0.33350399284410381</v>
      </c>
    </row>
    <row r="31" spans="1:13" s="142" customFormat="1" ht="46.5" customHeight="1" x14ac:dyDescent="0.25">
      <c r="A31" s="108">
        <v>308</v>
      </c>
      <c r="B31" s="108">
        <f>'SGTO POAI 2024 ARMONIZADO'!E39</f>
        <v>4</v>
      </c>
      <c r="C31" s="109" t="str">
        <f>'SGTO POAI 2024 ARMONIZADO'!F39</f>
        <v xml:space="preserve">Gobernabilidad, Fortalecimiento Institucional y Seguridad. “Quindío territorio seguro y confiable” </v>
      </c>
      <c r="D31" s="108">
        <f>'SGTO POAI 2024 ARMONIZADO'!I39</f>
        <v>1202</v>
      </c>
      <c r="E31" s="111" t="str">
        <f>'SGTO POAI 2024 ARMONIZADO'!J39</f>
        <v>Promoción al acceso a la justicia</v>
      </c>
      <c r="F31" s="108">
        <f>F29+1</f>
        <v>25</v>
      </c>
      <c r="G31" s="108">
        <f>'SGTO POAI 2024 ARMONIZADO'!R39</f>
        <v>2020003630017</v>
      </c>
      <c r="H31" s="17" t="str">
        <f>'SGTO POAI 2024 ARMONIZADO'!S39</f>
        <v>Mantenimiento de las instituciones públicas y/o de seguridad y  justicia  del Estado en el Departamento Quindío</v>
      </c>
      <c r="I31" s="224">
        <f>SUM('SGTO POAI 2024 ARMONIZADO'!AU39)</f>
        <v>47800000</v>
      </c>
      <c r="J31" s="224">
        <f>SUM('SGTO POAI 2024 ARMONIZADO'!AV39)</f>
        <v>46350000</v>
      </c>
      <c r="K31" s="167">
        <f t="shared" si="0"/>
        <v>0.96966527196652719</v>
      </c>
      <c r="L31" s="224">
        <f>SUM('SGTO POAI 2024 ARMONIZADO'!AW39)</f>
        <v>34563605.399999999</v>
      </c>
      <c r="M31" s="166">
        <f t="shared" si="1"/>
        <v>0.72308797907949784</v>
      </c>
    </row>
    <row r="32" spans="1:13" s="142" customFormat="1" ht="45" customHeight="1" x14ac:dyDescent="0.25">
      <c r="A32" s="108">
        <v>308</v>
      </c>
      <c r="B32" s="108">
        <f>'SGTO POAI 2024 ARMONIZADO'!E41</f>
        <v>1</v>
      </c>
      <c r="C32" s="109" t="str">
        <f>'SGTO POAI 2024 ARMONIZADO'!F41</f>
        <v>Social, Inclusiva y Participativa. "En el Quindío todos caben y nadie se quedan atrás".</v>
      </c>
      <c r="D32" s="108">
        <f>'SGTO POAI 2024 ARMONIZADO'!I40</f>
        <v>2201</v>
      </c>
      <c r="E32" s="17" t="str">
        <f>'SGTO POAI 2024 ARMONIZADO'!J40</f>
        <v>Calidad, cobertura y fortalecimiento de la educación inicial, prescolar, básica y media</v>
      </c>
      <c r="F32" s="108">
        <f t="shared" ref="F32:F50" si="4">F31+1</f>
        <v>26</v>
      </c>
      <c r="G32" s="108">
        <f>'SGTO POAI 2024 ARMONIZADO'!R40</f>
        <v>2020003630050</v>
      </c>
      <c r="H32" s="17" t="str">
        <f>'SGTO POAI 2024 ARMONIZADO'!S40</f>
        <v xml:space="preserve">Mantenimiento de  la infraestructura  Educativa en el Departamento del Quindío, </v>
      </c>
      <c r="I32" s="224">
        <f>SUM('SGTO POAI 2024 ARMONIZADO'!AU40)</f>
        <v>2017310306.0000002</v>
      </c>
      <c r="J32" s="224">
        <f>SUM('SGTO POAI 2024 ARMONIZADO'!AV40)</f>
        <v>2017310306</v>
      </c>
      <c r="K32" s="167">
        <f t="shared" si="0"/>
        <v>0.99999999999999989</v>
      </c>
      <c r="L32" s="224">
        <f>SUM('SGTO POAI 2024 ARMONIZADO'!AW40)</f>
        <v>1776045746.22</v>
      </c>
      <c r="M32" s="166">
        <f t="shared" si="1"/>
        <v>0.88040285172666932</v>
      </c>
    </row>
    <row r="33" spans="1:13" s="142" customFormat="1" ht="46.5" customHeight="1" x14ac:dyDescent="0.25">
      <c r="A33" s="108">
        <v>308</v>
      </c>
      <c r="B33" s="108">
        <f>'SGTO POAI 2024 ARMONIZADO'!E42</f>
        <v>1</v>
      </c>
      <c r="C33" s="109" t="str">
        <f>'SGTO POAI 2024 ARMONIZADO'!F42</f>
        <v>Social, Inclusiva y Participativa. "En el Quindío todos caben y nadie se quedan atrás".</v>
      </c>
      <c r="D33" s="108">
        <f>'SGTO POAI 2024 ARMONIZADO'!I41</f>
        <v>2201</v>
      </c>
      <c r="E33" s="17" t="str">
        <f>'SGTO POAI 2024 ARMONIZADO'!J41</f>
        <v>Calidad, cobertura y fortalecimiento de la educación inicial, prescolar, básica y media</v>
      </c>
      <c r="F33" s="108">
        <f t="shared" si="4"/>
        <v>27</v>
      </c>
      <c r="G33" s="108">
        <f>'SGTO POAI 2024 ARMONIZADO'!R41</f>
        <v>2024003630036</v>
      </c>
      <c r="H33" s="17" t="str">
        <f>'SGTO POAI 2024 ARMONIZADO'!S41</f>
        <v>Mejoramiento y mantenimiento de las condiciones de la infraestructura educativa para la cobertura estudiantil en el departamento del Quindío</v>
      </c>
      <c r="I33" s="224">
        <f>SUM('SGTO POAI 2024 ARMONIZADO'!AU41:AU42)</f>
        <v>2129851507.97</v>
      </c>
      <c r="J33" s="224">
        <f>SUM('SGTO POAI 2024 ARMONIZADO'!AV41:AV42)</f>
        <v>497693335.67000002</v>
      </c>
      <c r="K33" s="167">
        <f t="shared" si="0"/>
        <v>0.2336751335985674</v>
      </c>
      <c r="L33" s="224">
        <f>SUM('SGTO POAI 2024 ARMONIZADO'!AW41:AW42)</f>
        <v>378000000</v>
      </c>
      <c r="M33" s="166">
        <f t="shared" si="1"/>
        <v>0.17747716147604986</v>
      </c>
    </row>
    <row r="34" spans="1:13" s="142" customFormat="1" ht="41.25" customHeight="1" x14ac:dyDescent="0.25">
      <c r="A34" s="108">
        <v>308</v>
      </c>
      <c r="B34" s="108">
        <f>'SGTO POAI 2024 ARMONIZADO'!E43</f>
        <v>1</v>
      </c>
      <c r="C34" s="109" t="str">
        <f>'SGTO POAI 2024 ARMONIZADO'!F43</f>
        <v>Social, Inclusiva y Participativa. "En el Quindío todos caben y nadie se quedan atrás".</v>
      </c>
      <c r="D34" s="108">
        <f>'SGTO POAI 2024 ARMONIZADO'!I43</f>
        <v>3301</v>
      </c>
      <c r="E34" s="17" t="str">
        <f>'SGTO POAI 2024 ARMONIZADO'!J43</f>
        <v>Promoción y acceso efectivo a procesos culturales y artísticos</v>
      </c>
      <c r="F34" s="108">
        <f t="shared" si="4"/>
        <v>28</v>
      </c>
      <c r="G34" s="108">
        <f>'SGTO POAI 2024 ARMONIZADO'!R43</f>
        <v>2021003630001</v>
      </c>
      <c r="H34" s="17" t="str">
        <f>'SGTO POAI 2024 ARMONIZADO'!S43</f>
        <v xml:space="preserve">Mantenimiento de la infraestructura cultural en el departamento del Quindío  </v>
      </c>
      <c r="I34" s="224">
        <f>SUM('SGTO POAI 2024 ARMONIZADO'!AU43)</f>
        <v>47800000</v>
      </c>
      <c r="J34" s="224">
        <f>SUM('SGTO POAI 2024 ARMONIZADO'!AV43)</f>
        <v>46950000</v>
      </c>
      <c r="K34" s="167">
        <f t="shared" si="0"/>
        <v>0.98221757322175729</v>
      </c>
      <c r="L34" s="224">
        <f>SUM('SGTO POAI 2024 ARMONIZADO'!AW43)</f>
        <v>41234976.799999997</v>
      </c>
      <c r="M34" s="166">
        <f t="shared" si="1"/>
        <v>0.86265641841004181</v>
      </c>
    </row>
    <row r="35" spans="1:13" s="142" customFormat="1" ht="46.5" customHeight="1" x14ac:dyDescent="0.25">
      <c r="A35" s="108">
        <v>308</v>
      </c>
      <c r="B35" s="108">
        <f>'SGTO POAI 2024 ARMONIZADO'!E62</f>
        <v>1</v>
      </c>
      <c r="C35" s="109" t="str">
        <f>'SGTO POAI 2024 ARMONIZADO'!F62</f>
        <v>Social, Inclusiva y Participativa. "En el Quindío todos caben y nadie se quedan atrás".</v>
      </c>
      <c r="D35" s="108">
        <f>'SGTO POAI 2024 ARMONIZADO'!I44</f>
        <v>4104</v>
      </c>
      <c r="E35" s="17" t="str">
        <f>'SGTO POAI 2024 ARMONIZADO'!J44</f>
        <v>Atención integral de población en situación permanente de desprotección social y/o familiar</v>
      </c>
      <c r="F35" s="108">
        <f t="shared" si="4"/>
        <v>29</v>
      </c>
      <c r="G35" s="108">
        <f>'SGTO POAI 2024 ARMONIZADO'!R44</f>
        <v>2022003630007</v>
      </c>
      <c r="H35" s="17" t="str">
        <f>'SGTO POAI 2024 ARMONIZADO'!S44</f>
        <v>Construcción y dotación de un centro de atención integral para personas con discapacidad en el departamento del Quindio</v>
      </c>
      <c r="I35" s="224">
        <f>SUM('SGTO POAI 2024 ARMONIZADO'!AU44)</f>
        <v>1500000000</v>
      </c>
      <c r="J35" s="224">
        <f>SUM('SGTO POAI 2024 ARMONIZADO'!AV44)</f>
        <v>1500000000</v>
      </c>
      <c r="K35" s="167">
        <f t="shared" si="0"/>
        <v>1</v>
      </c>
      <c r="L35" s="224">
        <f>SUM('SGTO POAI 2024 ARMONIZADO'!AW44)</f>
        <v>0</v>
      </c>
      <c r="M35" s="166">
        <f t="shared" si="1"/>
        <v>0</v>
      </c>
    </row>
    <row r="36" spans="1:13" s="142" customFormat="1" ht="51.75" customHeight="1" x14ac:dyDescent="0.25">
      <c r="A36" s="108">
        <v>308</v>
      </c>
      <c r="B36" s="108">
        <f>'SGTO POAI 2024 ARMONIZADO'!E45</f>
        <v>1</v>
      </c>
      <c r="C36" s="109" t="str">
        <f>'SGTO POAI 2024 ARMONIZADO'!F45</f>
        <v>Social, Inclusiva y Participativa. "En el Quindío todos caben y nadie se quedan atrás".</v>
      </c>
      <c r="D36" s="108">
        <f>'SGTO POAI 2024 ARMONIZADO'!I45</f>
        <v>4301</v>
      </c>
      <c r="E36" s="17" t="str">
        <f>'SGTO POAI 2024 ARMONIZADO'!J45</f>
        <v>Fomento a la recreación, la actividad física y el deporte para desarrollar entornos de convivencia y paz</v>
      </c>
      <c r="F36" s="108">
        <f t="shared" si="4"/>
        <v>30</v>
      </c>
      <c r="G36" s="108">
        <f>'SGTO POAI 2024 ARMONIZADO'!R45</f>
        <v>2020003630052</v>
      </c>
      <c r="H36" s="17" t="str">
        <f>'SGTO POAI 2024 ARMONIZADO'!S45</f>
        <v xml:space="preserve">Mantenimiento mejoramiento y/o rehabilitación de  obras físicas de infraestructura deportiva y recreativa en el Departamento del Quindío  </v>
      </c>
      <c r="I36" s="224">
        <f>SUM('SGTO POAI 2024 ARMONIZADO'!AU45)</f>
        <v>1432876350</v>
      </c>
      <c r="J36" s="224">
        <f>SUM('SGTO POAI 2024 ARMONIZADO'!AV45)</f>
        <v>1432876350</v>
      </c>
      <c r="K36" s="167">
        <f t="shared" si="0"/>
        <v>1</v>
      </c>
      <c r="L36" s="224">
        <f>SUM('SGTO POAI 2024 ARMONIZADO'!AW45)</f>
        <v>1294620275.24</v>
      </c>
      <c r="M36" s="166">
        <f t="shared" si="1"/>
        <v>0.90351151042446898</v>
      </c>
    </row>
    <row r="37" spans="1:13" s="142" customFormat="1" ht="42.75" customHeight="1" x14ac:dyDescent="0.25">
      <c r="A37" s="108">
        <v>308</v>
      </c>
      <c r="B37" s="108">
        <v>1</v>
      </c>
      <c r="C37" s="109" t="s">
        <v>112</v>
      </c>
      <c r="D37" s="108" t="str">
        <f>'SGTO POAI 2024 ARMONIZADO'!I46</f>
        <v>4301</v>
      </c>
      <c r="E37" s="17" t="str">
        <f>'SGTO POAI 2024 ARMONIZADO'!J46</f>
        <v>Fomento a la recreación, la actividad física y el deporte</v>
      </c>
      <c r="F37" s="108">
        <f t="shared" si="4"/>
        <v>31</v>
      </c>
      <c r="G37" s="108">
        <f>'SGTO POAI 2024 ARMONIZADO'!R46</f>
        <v>2024003630032</v>
      </c>
      <c r="H37" s="17" t="str">
        <f>'SGTO POAI 2024 ARMONIZADO'!S46</f>
        <v>Fortalecimiento de la infraestructura deportiva y recreativa en el departamento del  Quindio</v>
      </c>
      <c r="I37" s="224">
        <f>SUM('SGTO POAI 2024 ARMONIZADO'!AU46:AU47)</f>
        <v>4552123650</v>
      </c>
      <c r="J37" s="224">
        <f>SUM('SGTO POAI 2024 ARMONIZADO'!AV46:AV47)</f>
        <v>1460324296.4200001</v>
      </c>
      <c r="K37" s="167">
        <f t="shared" si="0"/>
        <v>0.32080066551355652</v>
      </c>
      <c r="L37" s="224">
        <f>SUM('SGTO POAI 2024 ARMONIZADO'!AW46:AW47)</f>
        <v>209180523</v>
      </c>
      <c r="M37" s="166">
        <f t="shared" si="1"/>
        <v>4.5952293716801824E-2</v>
      </c>
    </row>
    <row r="38" spans="1:13" s="142" customFormat="1" ht="54.75" customHeight="1" x14ac:dyDescent="0.25">
      <c r="A38" s="108">
        <v>308</v>
      </c>
      <c r="B38" s="108">
        <f>'SGTO POAI 2024 ARMONIZADO'!E49</f>
        <v>3</v>
      </c>
      <c r="C38" s="109" t="str">
        <f>'SGTO POAI 2024 ARMONIZADO'!F49</f>
        <v>Convergencia Territorial.  “Quindío interconectado territorialmente, donde el progreso y las oportunidades llegan a todos los rincones”</v>
      </c>
      <c r="D38" s="108">
        <f>'SGTO POAI 2024 ARMONIZADO'!I48</f>
        <v>2402</v>
      </c>
      <c r="E38" s="17" t="str">
        <f>'SGTO POAI 2024 ARMONIZADO'!J48</f>
        <v xml:space="preserve">Infraestructura red vial regional </v>
      </c>
      <c r="F38" s="108">
        <f t="shared" si="4"/>
        <v>32</v>
      </c>
      <c r="G38" s="108">
        <f>'SGTO POAI 2024 ARMONIZADO'!R48</f>
        <v>2020003630053</v>
      </c>
      <c r="H38" s="17" t="str">
        <f>'SGTO POAI 2024 ARMONIZADO'!S48</f>
        <v>Mantenimiento mejoramiento rehabilitación y/o atención las vías  para  garantizar  la movilidad y competitividad en el departamento del Quindío</v>
      </c>
      <c r="I38" s="224">
        <f>SUM('SGTO POAI 2024 ARMONIZADO'!AU48)</f>
        <v>10358516308.689999</v>
      </c>
      <c r="J38" s="224">
        <f>SUM('SGTO POAI 2024 ARMONIZADO'!AV48)</f>
        <v>7863305237.6999998</v>
      </c>
      <c r="K38" s="167">
        <f t="shared" si="0"/>
        <v>0.75911501255283942</v>
      </c>
      <c r="L38" s="224">
        <f>SUM('SGTO POAI 2024 ARMONIZADO'!AW48)</f>
        <v>5564398374.0899992</v>
      </c>
      <c r="M38" s="166">
        <f t="shared" si="1"/>
        <v>0.53718102170886162</v>
      </c>
    </row>
    <row r="39" spans="1:13" s="142" customFormat="1" ht="39" customHeight="1" x14ac:dyDescent="0.25">
      <c r="A39" s="108">
        <v>308</v>
      </c>
      <c r="B39" s="108">
        <f>'SGTO POAI 2024 ARMONIZADO'!E50</f>
        <v>3</v>
      </c>
      <c r="C39" s="109" t="str">
        <f>'SGTO POAI 2024 ARMONIZADO'!F50</f>
        <v>Convergencia Territorial.  “Quindío interconectado territorialmente, donde el progreso y las oportunidades llegan a todos los rincones”</v>
      </c>
      <c r="D39" s="108" t="str">
        <f>'SGTO POAI 2024 ARMONIZADO'!I49</f>
        <v>2402</v>
      </c>
      <c r="E39" s="17" t="str">
        <f>'SGTO POAI 2024 ARMONIZADO'!J49</f>
        <v>Infraestructura red vial regional</v>
      </c>
      <c r="F39" s="108">
        <f t="shared" si="4"/>
        <v>33</v>
      </c>
      <c r="G39" s="108">
        <f>'SGTO POAI 2024 ARMONIZADO'!R49</f>
        <v>2024003630039</v>
      </c>
      <c r="H39" s="17" t="str">
        <f>'SGTO POAI 2024 ARMONIZADO'!S49</f>
        <v>Mejoramiento del índice de competitividad departamental por el estado de las vías terciarias en el departamento del Quindio</v>
      </c>
      <c r="I39" s="224">
        <f>SUM('SGTO POAI 2024 ARMONIZADO'!AU49:AU50)</f>
        <v>11492970218.809998</v>
      </c>
      <c r="J39" s="224">
        <f>SUM('SGTO POAI 2024 ARMONIZADO'!AV49:AV50)</f>
        <v>1656949401.8400002</v>
      </c>
      <c r="K39" s="167">
        <f t="shared" si="0"/>
        <v>0.14417068610585537</v>
      </c>
      <c r="L39" s="224">
        <f>SUM('SGTO POAI 2024 ARMONIZADO'!AW49:AW50)</f>
        <v>777187086.10000002</v>
      </c>
      <c r="M39" s="166">
        <f t="shared" si="1"/>
        <v>6.7622822586629078E-2</v>
      </c>
    </row>
    <row r="40" spans="1:13" s="142" customFormat="1" ht="48" customHeight="1" x14ac:dyDescent="0.25">
      <c r="A40" s="108">
        <v>308</v>
      </c>
      <c r="B40" s="108">
        <f>'SGTO POAI 2024 ARMONIZADO'!E51</f>
        <v>2</v>
      </c>
      <c r="C40" s="109" t="str">
        <f>'SGTO POAI 2024 ARMONIZADO'!F51</f>
        <v>Productividad, Competitividad y Medio Ambiente. “Quindío amigo de las empresas y el empleo. Quindío verde, territorio de agua, agricultura y medio ambiente”</v>
      </c>
      <c r="D40" s="108">
        <f>'SGTO POAI 2024 ARMONIZADO'!I51</f>
        <v>3205</v>
      </c>
      <c r="E40" s="17" t="str">
        <f>'SGTO POAI 2024 ARMONIZADO'!J51</f>
        <v xml:space="preserve">Ordenamiento ambiental territorial </v>
      </c>
      <c r="F40" s="108">
        <f t="shared" si="4"/>
        <v>34</v>
      </c>
      <c r="G40" s="108">
        <f>'SGTO POAI 2024 ARMONIZADO'!R51</f>
        <v>2021003630004</v>
      </c>
      <c r="H40" s="17" t="str">
        <f>'SGTO POAI 2024 ARMONIZADO'!S51</f>
        <v>Construcción mantenimiento y/o mejoramiento de obras  de estabilización de Taludes en el Departamento del Quindío</v>
      </c>
      <c r="I40" s="224">
        <f>SUM('SGTO POAI 2024 ARMONIZADO'!AU51)</f>
        <v>240000000</v>
      </c>
      <c r="J40" s="224">
        <f>SUM('SGTO POAI 2024 ARMONIZADO'!AV51)</f>
        <v>194700386</v>
      </c>
      <c r="K40" s="167">
        <f t="shared" si="0"/>
        <v>0.81125160833333332</v>
      </c>
      <c r="L40" s="224">
        <f>SUM('SGTO POAI 2024 ARMONIZADO'!AW51)</f>
        <v>0</v>
      </c>
      <c r="M40" s="166">
        <f t="shared" si="1"/>
        <v>0</v>
      </c>
    </row>
    <row r="41" spans="1:13" s="142" customFormat="1" ht="60" customHeight="1" x14ac:dyDescent="0.25">
      <c r="A41" s="108">
        <v>308</v>
      </c>
      <c r="B41" s="108">
        <f>'SGTO POAI 2024 ARMONIZADO'!E52</f>
        <v>2</v>
      </c>
      <c r="C41" s="109" t="str">
        <f>'SGTO POAI 2024 ARMONIZADO'!F52</f>
        <v>Productividad, Competitividad y Medio Ambiente. “Quindío amigo de las empresas y el empleo. Quindío verde, territorio de agua, agricultura y medio ambiente”</v>
      </c>
      <c r="D41" s="108">
        <f>'SGTO POAI 2024 ARMONIZADO'!I52</f>
        <v>3205</v>
      </c>
      <c r="E41" s="17" t="str">
        <f>'SGTO POAI 2024 ARMONIZADO'!J52</f>
        <v xml:space="preserve">Ordenamiento ambiental territorial </v>
      </c>
      <c r="F41" s="108">
        <f t="shared" si="4"/>
        <v>35</v>
      </c>
      <c r="G41" s="108">
        <f>'SGTO POAI 2024 ARMONIZADO'!R52</f>
        <v>2021003630002</v>
      </c>
      <c r="H41" s="17" t="str">
        <f>'SGTO POAI 2024 ARMONIZADO'!S52</f>
        <v xml:space="preserve">Construcción mantenimiento y/o mejoramiento de obras de infraestructura  para la mitigación y atención de desastres en los municipios del departamento del Quindío </v>
      </c>
      <c r="I41" s="224">
        <f>SUM('SGTO POAI 2024 ARMONIZADO'!AU52)</f>
        <v>250000000</v>
      </c>
      <c r="J41" s="224">
        <f>SUM('SGTO POAI 2024 ARMONIZADO'!AV52)</f>
        <v>168031851</v>
      </c>
      <c r="K41" s="167">
        <f t="shared" si="0"/>
        <v>0.67212740400000004</v>
      </c>
      <c r="L41" s="224">
        <f>SUM('SGTO POAI 2024 ARMONIZADO'!AW52)</f>
        <v>14400000</v>
      </c>
      <c r="M41" s="166">
        <f t="shared" si="1"/>
        <v>5.7599999999999998E-2</v>
      </c>
    </row>
    <row r="42" spans="1:13" s="142" customFormat="1" ht="53.25" customHeight="1" x14ac:dyDescent="0.25">
      <c r="A42" s="108">
        <v>308</v>
      </c>
      <c r="B42" s="108">
        <f>'SGTO POAI 2024 ARMONIZADO'!E53</f>
        <v>3</v>
      </c>
      <c r="C42" s="109" t="str">
        <f>'SGTO POAI 2024 ARMONIZADO'!F53</f>
        <v>Convergencia Territorial.  “Quindío interconectado territorialmente, donde el progreso y las oportunidades llegan a todos los rincones”</v>
      </c>
      <c r="D42" s="108">
        <f>'SGTO POAI 2024 ARMONIZADO'!I53</f>
        <v>4003</v>
      </c>
      <c r="E42" s="17" t="str">
        <f>'SGTO POAI 2024 ARMONIZADO'!J53</f>
        <v>Acceso de la población a los servicios de agua potable y saneamiento básico</v>
      </c>
      <c r="F42" s="108">
        <f t="shared" si="4"/>
        <v>36</v>
      </c>
      <c r="G42" s="108">
        <f>'SGTO POAI 2024 ARMONIZADO'!R53</f>
        <v>2020003630014</v>
      </c>
      <c r="H42" s="17" t="str">
        <f>'SGTO POAI 2024 ARMONIZADO'!S53</f>
        <v xml:space="preserve">Implementación del plan departamental para el manejo empresarial de los servicios de agua y saneamiento básico en el Departamento del Quindío  </v>
      </c>
      <c r="I42" s="224">
        <f>SUM('SGTO POAI 2024 ARMONIZADO'!AU53:AU53)</f>
        <v>272637292.19999981</v>
      </c>
      <c r="J42" s="224">
        <f>SUM('SGTO POAI 2024 ARMONIZADO'!AV53:AV53)</f>
        <v>252132293.15000001</v>
      </c>
      <c r="K42" s="167">
        <f t="shared" si="0"/>
        <v>0.92479018961588766</v>
      </c>
      <c r="L42" s="224">
        <f>SUM('SGTO POAI 2024 ARMONIZADO'!AW53:AW53)</f>
        <v>0</v>
      </c>
      <c r="M42" s="166">
        <f t="shared" si="1"/>
        <v>0</v>
      </c>
    </row>
    <row r="43" spans="1:13" s="142" customFormat="1" ht="51.75" customHeight="1" x14ac:dyDescent="0.25">
      <c r="A43" s="108">
        <v>308</v>
      </c>
      <c r="B43" s="108">
        <f>'SGTO POAI 2024 ARMONIZADO'!E54</f>
        <v>3</v>
      </c>
      <c r="C43" s="109" t="str">
        <f>'SGTO POAI 2024 ARMONIZADO'!F54</f>
        <v>Convergencia Territorial.  “Quindío interconectado territorialmente, donde el progreso y las oportunidades llegan a todos los rincones”</v>
      </c>
      <c r="D43" s="108" t="str">
        <f>'SGTO POAI 2024 ARMONIZADO'!I54</f>
        <v>4003</v>
      </c>
      <c r="E43" s="17" t="str">
        <f>'SGTO POAI 2024 ARMONIZADO'!J54</f>
        <v>Acceso de la población a los servicios de agua potable y saneamiento básico</v>
      </c>
      <c r="F43" s="108">
        <f t="shared" si="4"/>
        <v>37</v>
      </c>
      <c r="G43" s="108">
        <f>'SGTO POAI 2024 ARMONIZADO'!R54</f>
        <v>2024003630028</v>
      </c>
      <c r="H43" s="17" t="str">
        <f>'SGTO POAI 2024 ARMONIZADO'!S54</f>
        <v>Desarrollo del plan Departamental para el Manejo Empresarial de los Servicios de Agua y Saneamiento PDA en el departamento del  Quindio</v>
      </c>
      <c r="I43" s="224">
        <f>SUM('SGTO POAI 2024 ARMONIZADO'!AU54:AU57)</f>
        <v>7359613563.0100002</v>
      </c>
      <c r="J43" s="224">
        <f>SUM('SGTO POAI 2024 ARMONIZADO'!AV54:AV57)</f>
        <v>4980276046.5100002</v>
      </c>
      <c r="K43" s="167">
        <f t="shared" si="0"/>
        <v>0.67670347143513909</v>
      </c>
      <c r="L43" s="224">
        <f>SUM('SGTO POAI 2024 ARMONIZADO'!AW54:AW57)</f>
        <v>3943840322</v>
      </c>
      <c r="M43" s="166">
        <f t="shared" si="1"/>
        <v>0.53587600602048635</v>
      </c>
    </row>
    <row r="44" spans="1:13" s="142" customFormat="1" ht="45" customHeight="1" x14ac:dyDescent="0.25">
      <c r="A44" s="108">
        <v>308</v>
      </c>
      <c r="B44" s="108">
        <f>'SGTO POAI 2024 ARMONIZADO'!E58</f>
        <v>4</v>
      </c>
      <c r="C44" s="109" t="str">
        <f>'SGTO POAI 2024 ARMONIZADO'!F58</f>
        <v>Gobernabilidad, Fortalecimiento Institucional y Seguridad. “Quindío territorio seguro y confiable”</v>
      </c>
      <c r="D44" s="108">
        <f>'SGTO POAI 2024 ARMONIZADO'!I58</f>
        <v>4599</v>
      </c>
      <c r="E44" s="17" t="str">
        <f>'SGTO POAI 2024 ARMONIZADO'!J58</f>
        <v xml:space="preserve">Fortalecimiento a la gestión y dirección de la administración pública territorial </v>
      </c>
      <c r="F44" s="108">
        <f t="shared" si="4"/>
        <v>38</v>
      </c>
      <c r="G44" s="108">
        <f>'SGTO POAI 2024 ARMONIZADO'!R58</f>
        <v>2021003630003</v>
      </c>
      <c r="H44" s="17" t="str">
        <f>'SGTO POAI 2024 ARMONIZADO'!S58</f>
        <v>Mantenimiento  de la infraestructura institucional o de edificios públicos en el Departamento del Quindío</v>
      </c>
      <c r="I44" s="224">
        <f>SUM('SGTO POAI 2024 ARMONIZADO'!AU58)</f>
        <v>558000000</v>
      </c>
      <c r="J44" s="224">
        <f>SUM('SGTO POAI 2024 ARMONIZADO'!AV58)</f>
        <v>393759163.13999999</v>
      </c>
      <c r="K44" s="167">
        <f t="shared" si="0"/>
        <v>0.70566158268817203</v>
      </c>
      <c r="L44" s="224">
        <f>SUM('SGTO POAI 2024 ARMONIZADO'!AW58)</f>
        <v>120921489.38</v>
      </c>
      <c r="M44" s="166">
        <f t="shared" si="1"/>
        <v>0.21670517810035841</v>
      </c>
    </row>
    <row r="45" spans="1:13" s="142" customFormat="1" ht="44.25" customHeight="1" x14ac:dyDescent="0.25">
      <c r="A45" s="108">
        <v>308</v>
      </c>
      <c r="B45" s="108">
        <f>'SGTO POAI 2024 ARMONIZADO'!E59</f>
        <v>4</v>
      </c>
      <c r="C45" s="109" t="str">
        <f>'SGTO POAI 2024 ARMONIZADO'!F59</f>
        <v>Gobernabilidad, Fortalecimiento Institucional y Seguridad. “Quindío territorio seguro y confiable”</v>
      </c>
      <c r="D45" s="108">
        <f>'SGTO POAI 2024 ARMONIZADO'!I59</f>
        <v>4502</v>
      </c>
      <c r="E45" s="17" t="str">
        <f>'SGTO POAI 2024 ARMONIZADO'!J59</f>
        <v>Fortalecimiento del buen gobierno para el respeto y garantía de los derechos humanos</v>
      </c>
      <c r="F45" s="108">
        <f t="shared" si="4"/>
        <v>39</v>
      </c>
      <c r="G45" s="108">
        <f>'SGTO POAI 2024 ARMONIZADO'!R59</f>
        <v>2021003630006</v>
      </c>
      <c r="H45" s="17" t="str">
        <f>'SGTO POAI 2024 ARMONIZADO'!S59</f>
        <v xml:space="preserve">Construcción y/o adecuación de casetas comunales en los diferentes barrios del departamento </v>
      </c>
      <c r="I45" s="224">
        <f>SUM('SGTO POAI 2024 ARMONIZADO'!AU59)</f>
        <v>56822431</v>
      </c>
      <c r="J45" s="224">
        <f>SUM('SGTO POAI 2024 ARMONIZADO'!AV59)</f>
        <v>44680000</v>
      </c>
      <c r="K45" s="167">
        <f t="shared" si="0"/>
        <v>0.78630919539503685</v>
      </c>
      <c r="L45" s="224">
        <f>SUM('SGTO POAI 2024 ARMONIZADO'!AW59)</f>
        <v>29038010.119999997</v>
      </c>
      <c r="M45" s="166">
        <f t="shared" si="1"/>
        <v>0.5110307603699672</v>
      </c>
    </row>
    <row r="46" spans="1:13" s="142" customFormat="1" ht="33.75" customHeight="1" x14ac:dyDescent="0.25">
      <c r="A46" s="108">
        <v>308</v>
      </c>
      <c r="B46" s="108">
        <f>'SGTO POAI 2024 ARMONIZADO'!E60</f>
        <v>1</v>
      </c>
      <c r="C46" s="109" t="str">
        <f>'SGTO POAI 2024 ARMONIZADO'!F60</f>
        <v>Social, Inclusiva y Participativa. "En el Quindío todos caben y nadie se quedan atrás".</v>
      </c>
      <c r="D46" s="108">
        <f>'SGTO POAI 2024 ARMONIZADO'!I60</f>
        <v>1903</v>
      </c>
      <c r="E46" s="17" t="str">
        <f>'SGTO POAI 2024 ARMONIZADO'!J60</f>
        <v>Inspección, vigilancia y control</v>
      </c>
      <c r="F46" s="108">
        <f t="shared" si="4"/>
        <v>40</v>
      </c>
      <c r="G46" s="108">
        <f>'SGTO POAI 2024 ARMONIZADO'!R60</f>
        <v>2023003630002</v>
      </c>
      <c r="H46" s="17" t="str">
        <f>'SGTO POAI 2024 ARMONIZADO'!S60</f>
        <v>Modernización del laboratorio de salud pública departamental</v>
      </c>
      <c r="I46" s="224">
        <f>SUM('SGTO POAI 2024 ARMONIZADO'!AU60)</f>
        <v>30000000</v>
      </c>
      <c r="J46" s="224">
        <f>SUM('SGTO POAI 2024 ARMONIZADO'!AV60)</f>
        <v>0</v>
      </c>
      <c r="K46" s="167">
        <f t="shared" si="0"/>
        <v>0</v>
      </c>
      <c r="L46" s="224">
        <f>SUM('SGTO POAI 2024 ARMONIZADO'!AW60)</f>
        <v>0</v>
      </c>
      <c r="M46" s="166">
        <f t="shared" si="1"/>
        <v>0</v>
      </c>
    </row>
    <row r="47" spans="1:13" s="142" customFormat="1" ht="51.75" customHeight="1" x14ac:dyDescent="0.25">
      <c r="A47" s="108">
        <v>308</v>
      </c>
      <c r="B47" s="108">
        <f>'SGTO POAI 2024 ARMONIZADO'!E61</f>
        <v>1</v>
      </c>
      <c r="C47" s="109" t="str">
        <f>'SGTO POAI 2024 ARMONIZADO'!F61</f>
        <v>Social, Inclusiva y Participativa. "En el Quindío todos caben y nadie se quedan atrás".</v>
      </c>
      <c r="D47" s="108" t="str">
        <f>'SGTO POAI 2024 ARMONIZADO'!I61</f>
        <v>4102</v>
      </c>
      <c r="E47" s="17" t="str">
        <f>'SGTO POAI 2024 ARMONIZADO'!J61</f>
        <v>Desarrollo integral de la primera infancia a la juventud, y fortalecimiento de las capacidades de las familias de niñas, niños y adolescentes</v>
      </c>
      <c r="F47" s="108">
        <f t="shared" si="4"/>
        <v>41</v>
      </c>
      <c r="G47" s="108">
        <f>'SGTO POAI 2024 ARMONIZADO'!R61</f>
        <v>2024003630040</v>
      </c>
      <c r="H47" s="17" t="str">
        <f>'SGTO POAI 2024 ARMONIZADO'!S61</f>
        <v>Adecuación de la infraestructura locativa para la atención especializada a jóvenes y adolescentes sancionados en el departamento del Quindio</v>
      </c>
      <c r="I47" s="224">
        <f>SUM('SGTO POAI 2024 ARMONIZADO'!AU61)</f>
        <v>30000000</v>
      </c>
      <c r="J47" s="224">
        <f>SUM('SGTO POAI 2024 ARMONIZADO'!AV61)</f>
        <v>0</v>
      </c>
      <c r="K47" s="167">
        <f t="shared" si="0"/>
        <v>0</v>
      </c>
      <c r="L47" s="224">
        <f>SUM('SGTO POAI 2024 ARMONIZADO'!AW61)</f>
        <v>0</v>
      </c>
      <c r="M47" s="166">
        <f t="shared" si="1"/>
        <v>0</v>
      </c>
    </row>
    <row r="48" spans="1:13" s="142" customFormat="1" ht="60" customHeight="1" x14ac:dyDescent="0.25">
      <c r="A48" s="108">
        <v>308</v>
      </c>
      <c r="B48" s="108">
        <f>'SGTO POAI 2024 ARMONIZADO'!E44</f>
        <v>1</v>
      </c>
      <c r="C48" s="109" t="str">
        <f>'SGTO POAI 2024 ARMONIZADO'!F44</f>
        <v>Social, Inclusiva y Participativa. "En el Quindío todos caben y nadie se quedan atrás".</v>
      </c>
      <c r="D48" s="108" t="str">
        <f>'SGTO POAI 2024 ARMONIZADO'!I62</f>
        <v>4104</v>
      </c>
      <c r="E48" s="17" t="str">
        <f>'SGTO POAI 2024 ARMONIZADO'!J62</f>
        <v>Atención integral de población en situación permanente de desprotección social y/o familiar</v>
      </c>
      <c r="F48" s="108">
        <f t="shared" si="4"/>
        <v>42</v>
      </c>
      <c r="G48" s="108">
        <f>'SGTO POAI 2024 ARMONIZADO'!R62</f>
        <v>2024003630042</v>
      </c>
      <c r="H48" s="17" t="str">
        <f>'SGTO POAI 2024 ARMONIZADO'!S62</f>
        <v>Fortalecimiento en la prestación del servicio de atención integral al adulto mayor  en el departamento del Quindío</v>
      </c>
      <c r="I48" s="224">
        <f>SUM('SGTO POAI 2024 ARMONIZADO'!AU62)</f>
        <v>58200000</v>
      </c>
      <c r="J48" s="224">
        <f>SUM('SGTO POAI 2024 ARMONIZADO'!AV62)</f>
        <v>0</v>
      </c>
      <c r="K48" s="167">
        <f t="shared" si="0"/>
        <v>0</v>
      </c>
      <c r="L48" s="224">
        <f>SUM('SGTO POAI 2024 ARMONIZADO'!AW62)</f>
        <v>0</v>
      </c>
      <c r="M48" s="166">
        <f t="shared" si="1"/>
        <v>0</v>
      </c>
    </row>
    <row r="49" spans="1:13" s="142" customFormat="1" ht="44.25" customHeight="1" x14ac:dyDescent="0.25">
      <c r="A49" s="108">
        <v>308</v>
      </c>
      <c r="B49" s="108">
        <f>'SGTO POAI 2024 ARMONIZADO'!E63</f>
        <v>2</v>
      </c>
      <c r="C49" s="109" t="str">
        <f>'SGTO POAI 2024 ARMONIZADO'!F63</f>
        <v>Productividad, Competitividad y Medio Ambiente. “Quindío amigo de las empresas y el empleo. Quindío verde, territorio de agua, agricultura y medio ambiente”</v>
      </c>
      <c r="D49" s="108" t="str">
        <f>'SGTO POAI 2024 ARMONIZADO'!I63</f>
        <v>1709</v>
      </c>
      <c r="E49" s="17" t="str">
        <f>'SGTO POAI 2024 ARMONIZADO'!J63</f>
        <v>Infraestructura productiva y comercialización</v>
      </c>
      <c r="F49" s="108">
        <f t="shared" si="4"/>
        <v>43</v>
      </c>
      <c r="G49" s="108">
        <f>'SGTO POAI 2024 ARMONIZADO'!R63</f>
        <v>2024003630030</v>
      </c>
      <c r="H49" s="17" t="str">
        <f>'SGTO POAI 2024 ARMONIZADO'!S63</f>
        <v xml:space="preserve"> Adecuación De las plazas de mercado en el Departamento del  Quindio</v>
      </c>
      <c r="I49" s="224">
        <f>SUM('SGTO POAI 2024 ARMONIZADO'!AU63)</f>
        <v>58200000</v>
      </c>
      <c r="J49" s="224">
        <f>SUM('SGTO POAI 2024 ARMONIZADO'!AV63)</f>
        <v>0</v>
      </c>
      <c r="K49" s="167">
        <f t="shared" si="0"/>
        <v>0</v>
      </c>
      <c r="L49" s="224">
        <f>SUM('SGTO POAI 2024 ARMONIZADO'!AW63)</f>
        <v>0</v>
      </c>
      <c r="M49" s="166">
        <f t="shared" si="1"/>
        <v>0</v>
      </c>
    </row>
    <row r="50" spans="1:13" s="142" customFormat="1" ht="28.5" customHeight="1" x14ac:dyDescent="0.25">
      <c r="A50" s="108">
        <v>308</v>
      </c>
      <c r="B50" s="108">
        <f>'SGTO POAI 2024 ARMONIZADO'!E64</f>
        <v>3</v>
      </c>
      <c r="C50" s="109" t="str">
        <f>'SGTO POAI 2024 ARMONIZADO'!F64</f>
        <v>Convergencia Territorial.  “Quindío interconectado territorialmente, donde el progreso y las oportunidades llegan a todos los rincones”</v>
      </c>
      <c r="D50" s="108" t="str">
        <f>'SGTO POAI 2024 ARMONIZADO'!I64</f>
        <v>4002</v>
      </c>
      <c r="E50" s="17" t="str">
        <f>'SGTO POAI 2024 ARMONIZADO'!J64</f>
        <v>Ordenamiento territorial y desarrollo urbano</v>
      </c>
      <c r="F50" s="108">
        <f t="shared" si="4"/>
        <v>44</v>
      </c>
      <c r="G50" s="108">
        <f>'SGTO POAI 2024 ARMONIZADO'!R64</f>
        <v>2024003630034</v>
      </c>
      <c r="H50" s="17" t="str">
        <f>'SGTO POAI 2024 ARMONIZADO'!S64</f>
        <v>Mantenimiento de las plazas principales del departamento del  Quindio</v>
      </c>
      <c r="I50" s="224">
        <f>SUM('SGTO POAI 2024 ARMONIZADO'!AU64)</f>
        <v>35795909.380000003</v>
      </c>
      <c r="J50" s="224">
        <f>SUM('SGTO POAI 2024 ARMONIZADO'!AV64)</f>
        <v>0</v>
      </c>
      <c r="K50" s="167">
        <f t="shared" si="0"/>
        <v>0</v>
      </c>
      <c r="L50" s="224">
        <f>SUM('SGTO POAI 2024 ARMONIZADO'!AW64)</f>
        <v>0</v>
      </c>
      <c r="M50" s="166">
        <f t="shared" si="1"/>
        <v>0</v>
      </c>
    </row>
    <row r="51" spans="1:13" s="142" customFormat="1" ht="31.5" customHeight="1" x14ac:dyDescent="0.25">
      <c r="A51" s="16">
        <v>309</v>
      </c>
      <c r="B51" s="16"/>
      <c r="C51" s="16"/>
      <c r="D51" s="187"/>
      <c r="E51" s="12"/>
      <c r="F51" s="5" t="s">
        <v>1129</v>
      </c>
      <c r="G51" s="6"/>
      <c r="H51" s="10"/>
      <c r="I51" s="223">
        <f>SUM(I52:I75)</f>
        <v>13734254296.9</v>
      </c>
      <c r="J51" s="223">
        <f>SUM(J52:J75)</f>
        <v>4801894135</v>
      </c>
      <c r="K51" s="168">
        <f t="shared" si="0"/>
        <v>0.34962903927618771</v>
      </c>
      <c r="L51" s="223">
        <f>SUM(L52:L75)</f>
        <v>3413426874</v>
      </c>
      <c r="M51" s="168">
        <f t="shared" si="1"/>
        <v>0.24853383374228444</v>
      </c>
    </row>
    <row r="52" spans="1:13" s="142" customFormat="1" ht="60" customHeight="1" x14ac:dyDescent="0.25">
      <c r="A52" s="108">
        <v>309</v>
      </c>
      <c r="B52" s="108">
        <f>'SGTO POAI 2024 ARMONIZADO'!E65</f>
        <v>4</v>
      </c>
      <c r="C52" s="109" t="str">
        <f>'SGTO POAI 2024 ARMONIZADO'!F65</f>
        <v>Gobernabilidad, Fortalecimiento Institucional y Seguridad. “Quindío territorio seguro y confiable”</v>
      </c>
      <c r="D52" s="108">
        <f>'SGTO POAI 2024 ARMONIZADO'!I65</f>
        <v>1202</v>
      </c>
      <c r="E52" s="17" t="str">
        <f>'SGTO POAI 2024 ARMONIZADO'!J65</f>
        <v>Promoción al acceso a la justicia</v>
      </c>
      <c r="F52" s="108">
        <f>F50+1</f>
        <v>45</v>
      </c>
      <c r="G52" s="108">
        <f>'SGTO POAI 2024 ARMONIZADO'!R65</f>
        <v>2020003630060</v>
      </c>
      <c r="H52" s="111" t="str">
        <f>'SGTO POAI 2024 ARMONIZADO'!S65</f>
        <v>Implementación  de acciones con los Entes Municipales para la reducción de los delitos en el Departamento del Quindío</v>
      </c>
      <c r="I52" s="224">
        <f>SUM('SGTO POAI 2024 ARMONIZADO'!AU65)</f>
        <v>93500000</v>
      </c>
      <c r="J52" s="224">
        <f>SUM('SGTO POAI 2024 ARMONIZADO'!AV65)</f>
        <v>93500000</v>
      </c>
      <c r="K52" s="167">
        <f t="shared" si="0"/>
        <v>1</v>
      </c>
      <c r="L52" s="224">
        <f>SUM('SGTO POAI 2024 ARMONIZADO'!AW65)</f>
        <v>90500000</v>
      </c>
      <c r="M52" s="166">
        <f t="shared" si="1"/>
        <v>0.96791443850267378</v>
      </c>
    </row>
    <row r="53" spans="1:13" s="142" customFormat="1" ht="60" customHeight="1" x14ac:dyDescent="0.25">
      <c r="A53" s="108">
        <v>309</v>
      </c>
      <c r="B53" s="108">
        <f>'SGTO POAI 2024 ARMONIZADO'!E66</f>
        <v>4</v>
      </c>
      <c r="C53" s="109" t="str">
        <f>'SGTO POAI 2024 ARMONIZADO'!F66</f>
        <v>Gobernabilidad, Fortalecimiento Institucional y Seguridad. “Quindío territorio seguro y confiable”</v>
      </c>
      <c r="D53" s="108">
        <f>'SGTO POAI 2024 ARMONIZADO'!I66</f>
        <v>1202</v>
      </c>
      <c r="E53" s="17" t="str">
        <f>'SGTO POAI 2024 ARMONIZADO'!J66</f>
        <v xml:space="preserve"> Promoción al acceso a la justicia</v>
      </c>
      <c r="F53" s="108">
        <f t="shared" ref="F53:F83" si="5">F52+1</f>
        <v>46</v>
      </c>
      <c r="G53" s="108">
        <f>'SGTO POAI 2024 ARMONIZADO'!R66</f>
        <v>2024003630078</v>
      </c>
      <c r="H53" s="17" t="str">
        <f>'SGTO POAI 2024 ARMONIZADO'!S66</f>
        <v>Fortalecimiento de los organismos de justicia a través de asistencias Técnicas para la disminución del delito del departamento del Quindío</v>
      </c>
      <c r="I53" s="224">
        <f>SUM('SGTO POAI 2024 ARMONIZADO'!AU66)</f>
        <v>514700000</v>
      </c>
      <c r="J53" s="224">
        <f>SUM('SGTO POAI 2024 ARMONIZADO'!AV66)</f>
        <v>91829999</v>
      </c>
      <c r="K53" s="167">
        <f t="shared" si="0"/>
        <v>0.17841460850981153</v>
      </c>
      <c r="L53" s="224">
        <f>SUM('SGTO POAI 2024 ARMONIZADO'!AW66)</f>
        <v>51850000</v>
      </c>
      <c r="M53" s="166">
        <f t="shared" si="1"/>
        <v>0.10073829415193317</v>
      </c>
    </row>
    <row r="54" spans="1:13" s="142" customFormat="1" ht="47.25" customHeight="1" x14ac:dyDescent="0.25">
      <c r="A54" s="108">
        <v>309</v>
      </c>
      <c r="B54" s="108">
        <f>'SGTO POAI 2024 ARMONIZADO'!E67</f>
        <v>4</v>
      </c>
      <c r="C54" s="109" t="str">
        <f>'SGTO POAI 2024 ARMONIZADO'!F67</f>
        <v>Gobernabilidad, Fortalecimiento Institucional y Seguridad. “Quindío territorio seguro y confiable”</v>
      </c>
      <c r="D54" s="108">
        <f>'SGTO POAI 2024 ARMONIZADO'!I67</f>
        <v>1203</v>
      </c>
      <c r="E54" s="17" t="str">
        <f>'SGTO POAI 2024 ARMONIZADO'!J67</f>
        <v>Promoción de los métodos de resolución de conflictos</v>
      </c>
      <c r="F54" s="108">
        <f t="shared" si="5"/>
        <v>47</v>
      </c>
      <c r="G54" s="108">
        <f>'SGTO POAI 2024 ARMONIZADO'!R67</f>
        <v>2020003630061</v>
      </c>
      <c r="H54" s="17" t="str">
        <f>'SGTO POAI 2024 ARMONIZADO'!S67</f>
        <v xml:space="preserve">Fortalecimiento de las Instituciones públicas y privadas  técnicamente para la efectiva  resolución de conflictos en el departamento del Quindío.  
</v>
      </c>
      <c r="I54" s="224">
        <f>SUM('SGTO POAI 2024 ARMONIZADO'!AU67)</f>
        <v>29900000</v>
      </c>
      <c r="J54" s="224">
        <f>SUM('SGTO POAI 2024 ARMONIZADO'!AV67)</f>
        <v>29900000</v>
      </c>
      <c r="K54" s="167">
        <f t="shared" si="0"/>
        <v>1</v>
      </c>
      <c r="L54" s="224">
        <f>SUM('SGTO POAI 2024 ARMONIZADO'!AW67)</f>
        <v>29900000</v>
      </c>
      <c r="M54" s="166">
        <f t="shared" si="1"/>
        <v>1</v>
      </c>
    </row>
    <row r="55" spans="1:13" s="142" customFormat="1" ht="48.75" customHeight="1" x14ac:dyDescent="0.25">
      <c r="A55" s="108">
        <v>309</v>
      </c>
      <c r="B55" s="108">
        <f>'SGTO POAI 2024 ARMONIZADO'!E68</f>
        <v>4</v>
      </c>
      <c r="C55" s="109" t="str">
        <f>'SGTO POAI 2024 ARMONIZADO'!F68</f>
        <v>Gobernabilidad, Fortalecimiento Institucional y Seguridad. “Quindío territorio seguro y confiable”</v>
      </c>
      <c r="D55" s="108">
        <f>'SGTO POAI 2024 ARMONIZADO'!I68</f>
        <v>1203</v>
      </c>
      <c r="E55" s="17" t="str">
        <f>'SGTO POAI 2024 ARMONIZADO'!J68</f>
        <v>Promoción de los métodos de resolución de conflictos</v>
      </c>
      <c r="F55" s="108">
        <f t="shared" si="5"/>
        <v>48</v>
      </c>
      <c r="G55" s="108">
        <f>'SGTO POAI 2024 ARMONIZADO'!R68</f>
        <v>2024003630082</v>
      </c>
      <c r="H55" s="17" t="str">
        <f>'SGTO POAI 2024 ARMONIZADO'!S68</f>
        <v>Fortalecimiento de las Instituciones públicas y privadas  técnicamente para la efectiva  resolución de conflictos en el departamento del Quindío</v>
      </c>
      <c r="I55" s="224">
        <f>SUM('SGTO POAI 2024 ARMONIZADO'!AU68)</f>
        <v>25100000</v>
      </c>
      <c r="J55" s="224">
        <f>SUM('SGTO POAI 2024 ARMONIZADO'!AV68)</f>
        <v>15789999</v>
      </c>
      <c r="K55" s="167">
        <f t="shared" si="0"/>
        <v>0.629083625498008</v>
      </c>
      <c r="L55" s="224">
        <f>SUM('SGTO POAI 2024 ARMONIZADO'!AW68)</f>
        <v>12000000</v>
      </c>
      <c r="M55" s="166">
        <f t="shared" si="1"/>
        <v>0.47808764940239046</v>
      </c>
    </row>
    <row r="56" spans="1:13" s="142" customFormat="1" ht="60" customHeight="1" x14ac:dyDescent="0.25">
      <c r="A56" s="108">
        <v>309</v>
      </c>
      <c r="B56" s="108">
        <f>'SGTO POAI 2024 ARMONIZADO'!E69</f>
        <v>4</v>
      </c>
      <c r="C56" s="109" t="str">
        <f>'SGTO POAI 2024 ARMONIZADO'!F69</f>
        <v>Gobernabilidad, Fortalecimiento Institucional y Seguridad. “Quindío territorio seguro y confiable”</v>
      </c>
      <c r="D56" s="108">
        <f>'SGTO POAI 2024 ARMONIZADO'!I69</f>
        <v>1206</v>
      </c>
      <c r="E56" s="17" t="str">
        <f>'SGTO POAI 2024 ARMONIZADO'!J69</f>
        <v>Sistema penitenciario y carcelario en el marco de los derechos humanos</v>
      </c>
      <c r="F56" s="108">
        <f t="shared" si="5"/>
        <v>49</v>
      </c>
      <c r="G56" s="108">
        <f>'SGTO POAI 2024 ARMONIZADO'!R69</f>
        <v>2020003630062</v>
      </c>
      <c r="H56" s="17" t="str">
        <f>'SGTO POAI 2024 ARMONIZADO'!S69</f>
        <v xml:space="preserve">Implementación de  acciones de apoyo para  la  resocialización de las personas privadas de la libertad  en las Instituciones Penitenciarias  del Departamento  del Quindío </v>
      </c>
      <c r="I56" s="224">
        <f>SUM('SGTO POAI 2024 ARMONIZADO'!AU69)</f>
        <v>36450000</v>
      </c>
      <c r="J56" s="224">
        <f>SUM('SGTO POAI 2024 ARMONIZADO'!AV69)</f>
        <v>36450000</v>
      </c>
      <c r="K56" s="167">
        <f t="shared" si="0"/>
        <v>1</v>
      </c>
      <c r="L56" s="224">
        <f>SUM('SGTO POAI 2024 ARMONIZADO'!AW69)</f>
        <v>36450000</v>
      </c>
      <c r="M56" s="166">
        <f t="shared" si="1"/>
        <v>1</v>
      </c>
    </row>
    <row r="57" spans="1:13" s="142" customFormat="1" ht="60" customHeight="1" x14ac:dyDescent="0.25">
      <c r="A57" s="108">
        <v>309</v>
      </c>
      <c r="B57" s="108">
        <f>'SGTO POAI 2024 ARMONIZADO'!E70</f>
        <v>4</v>
      </c>
      <c r="C57" s="109" t="str">
        <f>'SGTO POAI 2024 ARMONIZADO'!F70</f>
        <v>Gobernabilidad, Fortalecimiento Institucional y Seguridad. “Quindío territorio seguro y confiable”</v>
      </c>
      <c r="D57" s="108">
        <f>'SGTO POAI 2024 ARMONIZADO'!I70</f>
        <v>1206</v>
      </c>
      <c r="E57" s="17" t="str">
        <f>'SGTO POAI 2024 ARMONIZADO'!J70</f>
        <v>Sistema penitenciario y carcelario en el marco de los derechos humanos</v>
      </c>
      <c r="F57" s="108">
        <f t="shared" si="5"/>
        <v>50</v>
      </c>
      <c r="G57" s="108">
        <f>'SGTO POAI 2024 ARMONIZADO'!R70</f>
        <v>2024003630098</v>
      </c>
      <c r="H57" s="17" t="str">
        <f>'SGTO POAI 2024 ARMONIZADO'!S70</f>
        <v xml:space="preserve">Implementación de acciones de apoyo para la resocialización de las personas privadas de la libertad en las Instituciones Penitenciarias del Departamento del Quindío. </v>
      </c>
      <c r="I57" s="224">
        <f>SUM('SGTO POAI 2024 ARMONIZADO'!AU70)</f>
        <v>49550000</v>
      </c>
      <c r="J57" s="224">
        <f>SUM('SGTO POAI 2024 ARMONIZADO'!AV70)</f>
        <v>49356200</v>
      </c>
      <c r="K57" s="167">
        <f t="shared" si="0"/>
        <v>0.99608879919273463</v>
      </c>
      <c r="L57" s="224">
        <f>SUM('SGTO POAI 2024 ARMONIZADO'!AW70)</f>
        <v>8850000</v>
      </c>
      <c r="M57" s="166">
        <f t="shared" si="1"/>
        <v>0.17860746720484358</v>
      </c>
    </row>
    <row r="58" spans="1:13" s="142" customFormat="1" ht="60" customHeight="1" x14ac:dyDescent="0.25">
      <c r="A58" s="108">
        <v>309</v>
      </c>
      <c r="B58" s="108">
        <f>'SGTO POAI 2024 ARMONIZADO'!E71</f>
        <v>1</v>
      </c>
      <c r="C58" s="109" t="str">
        <f>'SGTO POAI 2024 ARMONIZADO'!F71</f>
        <v>Social, Inclusiva y Participativa. "En el Quindío todos caben y nadie se quedan atrás".</v>
      </c>
      <c r="D58" s="108">
        <f>'SGTO POAI 2024 ARMONIZADO'!I71</f>
        <v>2201</v>
      </c>
      <c r="E58" s="17" t="str">
        <f>'SGTO POAI 2024 ARMONIZADO'!J71</f>
        <v>Calidad, cobertura y fortalecimiento de la educación inicial, prescolar, básica y media</v>
      </c>
      <c r="F58" s="108">
        <f t="shared" si="5"/>
        <v>51</v>
      </c>
      <c r="G58" s="108">
        <f>'SGTO POAI 2024 ARMONIZADO'!R71</f>
        <v>2020003630063</v>
      </c>
      <c r="H58" s="17" t="str">
        <f>'SGTO POAI 2024 ARMONIZADO'!S71</f>
        <v xml:space="preserve">Implementación  y/o fortalecimiento  de  los planes para la gestión del riesgo y desastres en las Instituciones Educativas Oficiales  del Departamento </v>
      </c>
      <c r="I58" s="224">
        <f>SUM('SGTO POAI 2024 ARMONIZADO'!AU71)</f>
        <v>60700000</v>
      </c>
      <c r="J58" s="224">
        <f>SUM('SGTO POAI 2024 ARMONIZADO'!AV71)</f>
        <v>60700000</v>
      </c>
      <c r="K58" s="167">
        <f t="shared" si="0"/>
        <v>1</v>
      </c>
      <c r="L58" s="224">
        <f>SUM('SGTO POAI 2024 ARMONIZADO'!AW71)</f>
        <v>60700000</v>
      </c>
      <c r="M58" s="166">
        <f t="shared" si="1"/>
        <v>1</v>
      </c>
    </row>
    <row r="59" spans="1:13" s="142" customFormat="1" ht="60" customHeight="1" x14ac:dyDescent="0.25">
      <c r="A59" s="108">
        <v>309</v>
      </c>
      <c r="B59" s="108">
        <f>'SGTO POAI 2024 ARMONIZADO'!E72</f>
        <v>1</v>
      </c>
      <c r="C59" s="109" t="str">
        <f>'SGTO POAI 2024 ARMONIZADO'!F72</f>
        <v>Social, Inclusiva y Participativa. "En el Quindío todos caben y nadie se quedan atrás".</v>
      </c>
      <c r="D59" s="108">
        <f>'SGTO POAI 2024 ARMONIZADO'!I72</f>
        <v>2201</v>
      </c>
      <c r="E59" s="17" t="str">
        <f>'SGTO POAI 2024 ARMONIZADO'!J72</f>
        <v>Calidad, cobertura y fortalecimiento de la educación inicial, prescolar, básica y media</v>
      </c>
      <c r="F59" s="108">
        <f t="shared" si="5"/>
        <v>52</v>
      </c>
      <c r="G59" s="108">
        <f>'SGTO POAI 2024 ARMONIZADO'!R72</f>
        <v>2024003630095</v>
      </c>
      <c r="H59" s="17" t="str">
        <f>'SGTO POAI 2024 ARMONIZADO'!S72</f>
        <v xml:space="preserve">Ampliación de la cobertura de las Instituciones Educativas con Planes Escolares de Gestión del Riesgo de Desastres PEGERD en el Departamento del Quindío </v>
      </c>
      <c r="I59" s="224">
        <f>SUM('SGTO POAI 2024 ARMONIZADO'!AU72)</f>
        <v>27600000</v>
      </c>
      <c r="J59" s="224">
        <f>SUM('SGTO POAI 2024 ARMONIZADO'!AV72)</f>
        <v>25433333</v>
      </c>
      <c r="K59" s="167">
        <f t="shared" si="0"/>
        <v>0.92149757246376807</v>
      </c>
      <c r="L59" s="224">
        <f>SUM('SGTO POAI 2024 ARMONIZADO'!AW72)</f>
        <v>9700000</v>
      </c>
      <c r="M59" s="166">
        <f t="shared" si="1"/>
        <v>0.35144927536231885</v>
      </c>
    </row>
    <row r="60" spans="1:13" s="142" customFormat="1" ht="60" customHeight="1" x14ac:dyDescent="0.25">
      <c r="A60" s="108">
        <v>309</v>
      </c>
      <c r="B60" s="108">
        <f>'SGTO POAI 2024 ARMONIZADO'!E74</f>
        <v>1</v>
      </c>
      <c r="C60" s="109" t="str">
        <f>'SGTO POAI 2024 ARMONIZADO'!F74</f>
        <v>Social, Inclusiva y Participativa. "En el Quindío todos caben y nadie se quedan atrás".</v>
      </c>
      <c r="D60" s="108">
        <f>'SGTO POAI 2024 ARMONIZADO'!I73</f>
        <v>4101</v>
      </c>
      <c r="E60" s="17" t="str">
        <f>'SGTO POAI 2024 ARMONIZADO'!J73</f>
        <v>Atención, asistencia  y reparación integral a las víctimas</v>
      </c>
      <c r="F60" s="108">
        <f t="shared" si="5"/>
        <v>53</v>
      </c>
      <c r="G60" s="108">
        <f>'SGTO POAI 2024 ARMONIZADO'!R73</f>
        <v>2020003630064</v>
      </c>
      <c r="H60" s="17" t="str">
        <f>'SGTO POAI 2024 ARMONIZADO'!S73</f>
        <v xml:space="preserve">Asistencia técnica garantías atención ayuda humanitaria y promoción de iniciativas de memoria histórica a la población víctima del conflicto armado en el Departamento del Quindío </v>
      </c>
      <c r="I60" s="224">
        <f>SUM('SGTO POAI 2024 ARMONIZADO'!AU73:AU76)</f>
        <v>149518927</v>
      </c>
      <c r="J60" s="224">
        <f>SUM('SGTO POAI 2024 ARMONIZADO'!AV73:AV76)</f>
        <v>149518927</v>
      </c>
      <c r="K60" s="167">
        <f t="shared" si="0"/>
        <v>1</v>
      </c>
      <c r="L60" s="224">
        <f>SUM('SGTO POAI 2024 ARMONIZADO'!AW73:AW76)</f>
        <v>148518927</v>
      </c>
      <c r="M60" s="166">
        <f t="shared" si="1"/>
        <v>0.99331188351826527</v>
      </c>
    </row>
    <row r="61" spans="1:13" s="142" customFormat="1" ht="50.25" customHeight="1" x14ac:dyDescent="0.25">
      <c r="A61" s="108">
        <v>309</v>
      </c>
      <c r="B61" s="108">
        <f>'SGTO POAI 2024 ARMONIZADO'!E77</f>
        <v>1</v>
      </c>
      <c r="C61" s="109" t="str">
        <f>'SGTO POAI 2024 ARMONIZADO'!F77</f>
        <v>Social, Inclusiva y Participativa. "En el Quindío todos caben y nadie se quedan atrás".</v>
      </c>
      <c r="D61" s="108">
        <f>'SGTO POAI 2024 ARMONIZADO'!I77</f>
        <v>4101</v>
      </c>
      <c r="E61" s="17" t="str">
        <f>'SGTO POAI 2024 ARMONIZADO'!J74</f>
        <v>Atención, asistencia  y reparación integral a las víctimas</v>
      </c>
      <c r="F61" s="108">
        <f t="shared" si="5"/>
        <v>54</v>
      </c>
      <c r="G61" s="108">
        <f>'SGTO POAI 2024 ARMONIZADO'!R77</f>
        <v>2024003630077</v>
      </c>
      <c r="H61" s="17" t="str">
        <f>'SGTO POAI 2024 ARMONIZADO'!S77</f>
        <v>Generación de acciones en la atención y asistencia encaminadas a la reparación de las víctimas del conflicto armado en el Quindio</v>
      </c>
      <c r="I61" s="224">
        <f>SUM('SGTO POAI 2024 ARMONIZADO'!AU77:AU81)</f>
        <v>193681073</v>
      </c>
      <c r="J61" s="224">
        <f>SUM('SGTO POAI 2024 ARMONIZADO'!AV77:AV81)</f>
        <v>143418021</v>
      </c>
      <c r="K61" s="167">
        <f t="shared" si="0"/>
        <v>0.74048547325014047</v>
      </c>
      <c r="L61" s="224">
        <f>SUM('SGTO POAI 2024 ARMONIZADO'!AW77:AW81)</f>
        <v>75436000</v>
      </c>
      <c r="M61" s="166">
        <f t="shared" si="1"/>
        <v>0.38948565717621775</v>
      </c>
    </row>
    <row r="62" spans="1:13" s="142" customFormat="1" ht="36" customHeight="1" x14ac:dyDescent="0.25">
      <c r="A62" s="108">
        <v>309</v>
      </c>
      <c r="B62" s="108">
        <f>'SGTO POAI 2024 ARMONIZADO'!E82</f>
        <v>1</v>
      </c>
      <c r="C62" s="109" t="str">
        <f>'SGTO POAI 2024 ARMONIZADO'!F82</f>
        <v>Social, Inclusiva y Participativa. "En el Quindío todos caben y nadie se quedan atrás".</v>
      </c>
      <c r="D62" s="108">
        <f>'SGTO POAI 2024 ARMONIZADO'!I82</f>
        <v>4103</v>
      </c>
      <c r="E62" s="17" t="str">
        <f>'SGTO POAI 2024 ARMONIZADO'!J82</f>
        <v xml:space="preserve">Inclusión social y productiva para la población en situación de vulnerabilidad </v>
      </c>
      <c r="F62" s="108">
        <f t="shared" si="5"/>
        <v>55</v>
      </c>
      <c r="G62" s="108">
        <f>'SGTO POAI 2024 ARMONIZADO'!R82</f>
        <v>2020003630065</v>
      </c>
      <c r="H62" s="17" t="str">
        <f>'SGTO POAI 2024 ARMONIZADO'!S82</f>
        <v xml:space="preserve">Asistencia atención y capacitación  a la población  excombatiente en el  Departamento del Quindío </v>
      </c>
      <c r="I62" s="224">
        <f>SUM('SGTO POAI 2024 ARMONIZADO'!AU82)</f>
        <v>19700000</v>
      </c>
      <c r="J62" s="224">
        <f>SUM('SGTO POAI 2024 ARMONIZADO'!AV82)</f>
        <v>19700000</v>
      </c>
      <c r="K62" s="167">
        <f t="shared" si="0"/>
        <v>1</v>
      </c>
      <c r="L62" s="224">
        <f>SUM('SGTO POAI 2024 ARMONIZADO'!AW82)</f>
        <v>19700000</v>
      </c>
      <c r="M62" s="166">
        <f t="shared" si="1"/>
        <v>1</v>
      </c>
    </row>
    <row r="63" spans="1:13" s="142" customFormat="1" ht="60" customHeight="1" x14ac:dyDescent="0.25">
      <c r="A63" s="108">
        <v>309</v>
      </c>
      <c r="B63" s="108">
        <f>'SGTO POAI 2024 ARMONIZADO'!E83</f>
        <v>1</v>
      </c>
      <c r="C63" s="109" t="str">
        <f>'SGTO POAI 2024 ARMONIZADO'!F83</f>
        <v>Social, Inclusiva y Participativa. "En el Quindío todos caben y nadie se quedan atrás".</v>
      </c>
      <c r="D63" s="108">
        <f>'SGTO POAI 2024 ARMONIZADO'!I83</f>
        <v>4103</v>
      </c>
      <c r="E63" s="17" t="str">
        <f>'SGTO POAI 2024 ARMONIZADO'!J83</f>
        <v>Inclusión social y productiva para la población en situación de vulnerabilidad</v>
      </c>
      <c r="F63" s="108">
        <f t="shared" si="5"/>
        <v>56</v>
      </c>
      <c r="G63" s="108">
        <f>'SGTO POAI 2024 ARMONIZADO'!R83</f>
        <v>2024003630103</v>
      </c>
      <c r="H63" s="17" t="str">
        <f>'SGTO POAI 2024 ARMONIZADO'!S83</f>
        <v xml:space="preserve">Generación de acciones en la  atención y asistencia técnica encaminadas a la reparación de la  población firmante de paz residente en el Departamento del Quindío </v>
      </c>
      <c r="I63" s="224">
        <f>SUM('SGTO POAI 2024 ARMONIZADO'!AU83)</f>
        <v>16300000</v>
      </c>
      <c r="J63" s="224">
        <f>SUM('SGTO POAI 2024 ARMONIZADO'!AV83)</f>
        <v>10300000</v>
      </c>
      <c r="K63" s="167">
        <f t="shared" si="0"/>
        <v>0.63190184049079756</v>
      </c>
      <c r="L63" s="224">
        <f>SUM('SGTO POAI 2024 ARMONIZADO'!AW83)</f>
        <v>5000000</v>
      </c>
      <c r="M63" s="166">
        <f t="shared" si="1"/>
        <v>0.30674846625766872</v>
      </c>
    </row>
    <row r="64" spans="1:13" s="142" customFormat="1" ht="60" customHeight="1" x14ac:dyDescent="0.25">
      <c r="A64" s="108">
        <v>309</v>
      </c>
      <c r="B64" s="108">
        <f>'SGTO POAI 2024 ARMONIZADO'!E86</f>
        <v>4</v>
      </c>
      <c r="C64" s="109" t="str">
        <f>'SGTO POAI 2024 ARMONIZADO'!F86</f>
        <v>Gobernabilidad, Fortalecimiento Institucional y Seguridad. “Quindío territorio seguro y confiable”</v>
      </c>
      <c r="D64" s="108">
        <f>'SGTO POAI 2024 ARMONIZADO'!I84</f>
        <v>4501</v>
      </c>
      <c r="E64" s="17" t="str">
        <f>'SGTO POAI 2024 ARMONIZADO'!J84</f>
        <v>Fortalecimiento de la convivencia y la seguridad ciudadana</v>
      </c>
      <c r="F64" s="108">
        <f t="shared" si="5"/>
        <v>57</v>
      </c>
      <c r="G64" s="108">
        <f>'SGTO POAI 2024 ARMONIZADO'!R84</f>
        <v>2020003630066</v>
      </c>
      <c r="H64" s="17" t="str">
        <f>'SGTO POAI 2024 ARMONIZADO'!S84</f>
        <v xml:space="preserve">Fortalecimiento de los organismos de seguridad del Departamento del Quindío  para mejorar la convivencia preservación del orden público y la seguridad ciudadana </v>
      </c>
      <c r="I64" s="224">
        <f>SUM('SGTO POAI 2024 ARMONIZADO'!AU84)</f>
        <v>4665744508.3299999</v>
      </c>
      <c r="J64" s="224">
        <f>SUM('SGTO POAI 2024 ARMONIZADO'!AV84)</f>
        <v>1027968725</v>
      </c>
      <c r="K64" s="167">
        <f t="shared" si="0"/>
        <v>0.2203225494162214</v>
      </c>
      <c r="L64" s="224">
        <f>SUM('SGTO POAI 2024 ARMONIZADO'!AW84)</f>
        <v>365651293</v>
      </c>
      <c r="M64" s="166">
        <f t="shared" si="1"/>
        <v>7.8369334700428506E-2</v>
      </c>
    </row>
    <row r="65" spans="1:13" s="142" customFormat="1" ht="74.25" customHeight="1" x14ac:dyDescent="0.25">
      <c r="A65" s="108">
        <v>309</v>
      </c>
      <c r="B65" s="108">
        <f>'SGTO POAI 2024 ARMONIZADO'!E85</f>
        <v>4</v>
      </c>
      <c r="C65" s="109" t="str">
        <f>'SGTO POAI 2024 ARMONIZADO'!F85</f>
        <v>Gobernabilidad, Fortalecimiento Institucional y Seguridad. “Quindío territorio seguro y confiable”</v>
      </c>
      <c r="D65" s="108">
        <f>'SGTO POAI 2024 ARMONIZADO'!I85</f>
        <v>4501</v>
      </c>
      <c r="E65" s="17" t="str">
        <f>'SGTO POAI 2024 ARMONIZADO'!J85</f>
        <v>Fortalecimiento de la convivencia y la seguridad ciudadana</v>
      </c>
      <c r="F65" s="108">
        <f t="shared" si="5"/>
        <v>58</v>
      </c>
      <c r="G65" s="108">
        <f>'SGTO POAI 2024 ARMONIZADO'!R85</f>
        <v>2024003630090</v>
      </c>
      <c r="H65" s="17" t="str">
        <f>'SGTO POAI 2024 ARMONIZADO'!S85</f>
        <v>Fortalecimiento del apoyo financiero de los organismos de seguridad, para mejorar la convivencia, preservación del orden público y la seguridad ciudadana  en el Departamento del Quindío</v>
      </c>
      <c r="I65" s="224">
        <f>SUM('SGTO POAI 2024 ARMONIZADO'!AU85)</f>
        <v>4903705168.9300003</v>
      </c>
      <c r="J65" s="224">
        <f>SUM('SGTO POAI 2024 ARMONIZADO'!AV85)</f>
        <v>284646665</v>
      </c>
      <c r="K65" s="167">
        <f t="shared" si="0"/>
        <v>5.804726328237033E-2</v>
      </c>
      <c r="L65" s="224">
        <f>SUM('SGTO POAI 2024 ARMONIZADO'!AW85)</f>
        <v>95019600</v>
      </c>
      <c r="M65" s="166">
        <f t="shared" si="1"/>
        <v>1.9377102971452398E-2</v>
      </c>
    </row>
    <row r="66" spans="1:13" s="142" customFormat="1" ht="60" customHeight="1" x14ac:dyDescent="0.25">
      <c r="A66" s="108">
        <v>309</v>
      </c>
      <c r="B66" s="108">
        <f>'SGTO POAI 2024 ARMONIZADO'!E86</f>
        <v>4</v>
      </c>
      <c r="C66" s="109" t="str">
        <f>'SGTO POAI 2024 ARMONIZADO'!F86</f>
        <v>Gobernabilidad, Fortalecimiento Institucional y Seguridad. “Quindío territorio seguro y confiable”</v>
      </c>
      <c r="D66" s="108">
        <f>'SGTO POAI 2024 ARMONIZADO'!I86</f>
        <v>4501</v>
      </c>
      <c r="E66" s="17" t="str">
        <f>'SGTO POAI 2024 ARMONIZADO'!J86</f>
        <v>Fortalecimiento de la convivencia y la seguridad ciudadana</v>
      </c>
      <c r="F66" s="108">
        <f t="shared" si="5"/>
        <v>59</v>
      </c>
      <c r="G66" s="108">
        <f>'SGTO POAI 2024 ARMONIZADO'!R86</f>
        <v>2020003630068</v>
      </c>
      <c r="H66" s="17" t="str">
        <f>'SGTO POAI 2024 ARMONIZADO'!S86</f>
        <v xml:space="preserve">Fortalecimiento institucional de la entidades municipales para la consolidación de la convivencia el orden público  y la seguridad ciudadana  en el departamento del Quindío  </v>
      </c>
      <c r="I66" s="224">
        <f>SUM('SGTO POAI 2024 ARMONIZADO'!AU86)</f>
        <v>55700000</v>
      </c>
      <c r="J66" s="224">
        <f>SUM('SGTO POAI 2024 ARMONIZADO'!AV86)</f>
        <v>55700000</v>
      </c>
      <c r="K66" s="167">
        <f t="shared" si="0"/>
        <v>1</v>
      </c>
      <c r="L66" s="224">
        <f>SUM('SGTO POAI 2024 ARMONIZADO'!AW86)</f>
        <v>55700000</v>
      </c>
      <c r="M66" s="166">
        <f t="shared" si="1"/>
        <v>1</v>
      </c>
    </row>
    <row r="67" spans="1:13" s="142" customFormat="1" ht="60" customHeight="1" x14ac:dyDescent="0.25">
      <c r="A67" s="108">
        <v>309</v>
      </c>
      <c r="B67" s="108">
        <f>'SGTO POAI 2024 ARMONIZADO'!E87</f>
        <v>4</v>
      </c>
      <c r="C67" s="109" t="str">
        <f>'SGTO POAI 2024 ARMONIZADO'!F87</f>
        <v>Gobernabilidad, Fortalecimiento Institucional y Seguridad. “Quindío territorio seguro y confiable”</v>
      </c>
      <c r="D67" s="108">
        <f>'SGTO POAI 2024 ARMONIZADO'!I87</f>
        <v>4501</v>
      </c>
      <c r="E67" s="17" t="str">
        <f>'SGTO POAI 2024 ARMONIZADO'!J87</f>
        <v>Fortalecimiento de la convivencia y la seguridad ciudadana</v>
      </c>
      <c r="F67" s="108">
        <f t="shared" si="5"/>
        <v>60</v>
      </c>
      <c r="G67" s="108">
        <f>'SGTO POAI 2024 ARMONIZADO'!R87</f>
        <v>2024003630081</v>
      </c>
      <c r="H67" s="17" t="str">
        <f>'SGTO POAI 2024 ARMONIZADO'!S87</f>
        <v>Fortalecimiento de las instancias territoriales, para mejorar la convivencia, preservación del orden público y la seguridad ciudadana en el Departamento del Quindío</v>
      </c>
      <c r="I67" s="224">
        <f>SUM('SGTO POAI 2024 ARMONIZADO'!AU87)</f>
        <v>29300000</v>
      </c>
      <c r="J67" s="224">
        <f>SUM('SGTO POAI 2024 ARMONIZADO'!AV87)</f>
        <v>22253334</v>
      </c>
      <c r="K67" s="167">
        <f t="shared" si="0"/>
        <v>0.75949945392491469</v>
      </c>
      <c r="L67" s="224">
        <f>SUM('SGTO POAI 2024 ARMONIZADO'!AW87)</f>
        <v>10400000</v>
      </c>
      <c r="M67" s="166">
        <f t="shared" si="1"/>
        <v>0.35494880546075086</v>
      </c>
    </row>
    <row r="68" spans="1:13" s="142" customFormat="1" ht="57" customHeight="1" x14ac:dyDescent="0.25">
      <c r="A68" s="108">
        <v>309</v>
      </c>
      <c r="B68" s="108">
        <f>'SGTO POAI 2024 ARMONIZADO'!E88</f>
        <v>2</v>
      </c>
      <c r="C68" s="109" t="str">
        <f>'SGTO POAI 2024 ARMONIZADO'!F88</f>
        <v>Productividad, Competitividad y Medio Ambiente. “Quindío amigo de las empresas y el empleo. Quindío verde, territorio de agua, agricultura y medio ambiente”</v>
      </c>
      <c r="D68" s="108">
        <f>'SGTO POAI 2024 ARMONIZADO'!I88</f>
        <v>3205</v>
      </c>
      <c r="E68" s="17" t="str">
        <f>'SGTO POAI 2024 ARMONIZADO'!J88</f>
        <v xml:space="preserve">Ordenamiento ambiental territorial </v>
      </c>
      <c r="F68" s="108">
        <f t="shared" si="5"/>
        <v>61</v>
      </c>
      <c r="G68" s="108">
        <f>'SGTO POAI 2024 ARMONIZADO'!R88</f>
        <v>2020003630069</v>
      </c>
      <c r="H68" s="17" t="str">
        <f>'SGTO POAI 2024 ARMONIZADO'!S88</f>
        <v>Fortalecimiento de los procesos de planificación del territorio para el conocimiento  y reducción del riesgo en el Departamento del Quindío</v>
      </c>
      <c r="I68" s="224">
        <f>SUM('SGTO POAI 2024 ARMONIZADO'!AU88)</f>
        <v>65000000</v>
      </c>
      <c r="J68" s="224">
        <f>SUM('SGTO POAI 2024 ARMONIZADO'!AV88)</f>
        <v>65000000</v>
      </c>
      <c r="K68" s="167">
        <f t="shared" ref="K68:K131" si="6">J68/I68</f>
        <v>1</v>
      </c>
      <c r="L68" s="224">
        <f>SUM('SGTO POAI 2024 ARMONIZADO'!AW88)</f>
        <v>65000000</v>
      </c>
      <c r="M68" s="166">
        <f t="shared" ref="M68:M131" si="7">L68/I68</f>
        <v>1</v>
      </c>
    </row>
    <row r="69" spans="1:13" s="142" customFormat="1" ht="58.5" customHeight="1" x14ac:dyDescent="0.25">
      <c r="A69" s="108">
        <v>309</v>
      </c>
      <c r="B69" s="108">
        <f>'SGTO POAI 2024 ARMONIZADO'!E89</f>
        <v>2</v>
      </c>
      <c r="C69" s="109" t="str">
        <f>'SGTO POAI 2024 ARMONIZADO'!F89</f>
        <v>Productividad, Competitividad y Medio Ambiente. “Quindío amigo de las empresas y el empleo. Quindío verde, territorio de agua, agricultura y medio ambiente”</v>
      </c>
      <c r="D69" s="108">
        <f>'SGTO POAI 2024 ARMONIZADO'!I89</f>
        <v>4503</v>
      </c>
      <c r="E69" s="109" t="str">
        <f>'SGTO POAI 2024 ARMONIZADO'!J89</f>
        <v>Gestión del riesgo de desastres y emergencias</v>
      </c>
      <c r="F69" s="108">
        <f t="shared" si="5"/>
        <v>62</v>
      </c>
      <c r="G69" s="108">
        <f>'SGTO POAI 2024 ARMONIZADO'!R89</f>
        <v>2020003630070</v>
      </c>
      <c r="H69" s="17" t="str">
        <f>'SGTO POAI 2024 ARMONIZADO'!S89</f>
        <v>Fortalecimiento de la gestión del Riesgo mediante los procesos de conocimiento reducción del riesgo y manejo de desastres en el Departamento del Quindío</v>
      </c>
      <c r="I69" s="224">
        <f>SUM('SGTO POAI 2024 ARMONIZADO'!AU89:AU90)</f>
        <v>231600000</v>
      </c>
      <c r="J69" s="224">
        <f>SUM('SGTO POAI 2024 ARMONIZADO'!AV89:AV90)</f>
        <v>231600000</v>
      </c>
      <c r="K69" s="167">
        <f t="shared" si="6"/>
        <v>1</v>
      </c>
      <c r="L69" s="224">
        <f>SUM('SGTO POAI 2024 ARMONIZADO'!AW89:AW90)</f>
        <v>227860500</v>
      </c>
      <c r="M69" s="166">
        <f t="shared" si="7"/>
        <v>0.98385362694300516</v>
      </c>
    </row>
    <row r="70" spans="1:13" s="142" customFormat="1" ht="52.5" customHeight="1" x14ac:dyDescent="0.25">
      <c r="A70" s="108">
        <v>309</v>
      </c>
      <c r="B70" s="108">
        <f>'SGTO POAI 2024 ARMONIZADO'!E91</f>
        <v>2</v>
      </c>
      <c r="C70" s="109" t="str">
        <f>'SGTO POAI 2024 ARMONIZADO'!F91</f>
        <v>Productividad, Competitividad y Medio Ambiente. “Quindío amigo de las empresas y el empleo. Quindío verde, territorio de agua, agricultura y medio ambiente”</v>
      </c>
      <c r="D70" s="108">
        <f>'SGTO POAI 2024 ARMONIZADO'!I91</f>
        <v>4503</v>
      </c>
      <c r="E70" s="109" t="str">
        <f>'SGTO POAI 2024 ARMONIZADO'!J91</f>
        <v>Gestión del riesgo de desastres y emergencias</v>
      </c>
      <c r="F70" s="108">
        <f t="shared" si="5"/>
        <v>63</v>
      </c>
      <c r="G70" s="108">
        <f>'SGTO POAI 2024 ARMONIZADO'!R91</f>
        <v>2024003630089</v>
      </c>
      <c r="H70" s="17" t="str">
        <f>'SGTO POAI 2024 ARMONIZADO'!S91</f>
        <v xml:space="preserve">Ampliación de la cobertura de atención del Sistema Departamental de Gestión del Riesgo de Desastres en el Departamento del  Quindío  </v>
      </c>
      <c r="I70" s="224">
        <f>SUM('SGTO POAI 2024 ARMONIZADO'!AU91:AU95)</f>
        <v>325400000</v>
      </c>
      <c r="J70" s="224">
        <f>SUM('SGTO POAI 2024 ARMONIZADO'!AV91:AV95)</f>
        <v>203505602</v>
      </c>
      <c r="K70" s="167">
        <f t="shared" si="6"/>
        <v>0.62540135832821142</v>
      </c>
      <c r="L70" s="224">
        <f>SUM('SGTO POAI 2024 ARMONIZADO'!AW91:AW95)</f>
        <v>81600000</v>
      </c>
      <c r="M70" s="166">
        <f t="shared" si="7"/>
        <v>0.25076828518746158</v>
      </c>
    </row>
    <row r="71" spans="1:13" s="142" customFormat="1" ht="60" customHeight="1" x14ac:dyDescent="0.25">
      <c r="A71" s="108">
        <v>309</v>
      </c>
      <c r="B71" s="108">
        <f>'SGTO POAI 2024 ARMONIZADO'!E96</f>
        <v>4</v>
      </c>
      <c r="C71" s="109" t="str">
        <f>'SGTO POAI 2024 ARMONIZADO'!F96</f>
        <v>Gobernabilidad, Fortalecimiento Institucional y Seguridad. “Quindío territorio seguro y confiable”</v>
      </c>
      <c r="D71" s="108">
        <f>'SGTO POAI 2024 ARMONIZADO'!I96</f>
        <v>4502</v>
      </c>
      <c r="E71" s="17" t="str">
        <f>'SGTO POAI 2024 ARMONIZADO'!J96</f>
        <v>Fortalecimiento del buen gobierno para el respeto y garantía de los derechos humanos</v>
      </c>
      <c r="F71" s="108">
        <f t="shared" si="5"/>
        <v>64</v>
      </c>
      <c r="G71" s="108">
        <f>'SGTO POAI 2024 ARMONIZADO'!R96</f>
        <v>2020003630067</v>
      </c>
      <c r="H71" s="17" t="str">
        <f>'SGTO POAI 2024 ARMONIZADO'!S96</f>
        <v xml:space="preserve">Implementación del Plan Integral de prevención de vulneraciones de los Derechos Humanos DDHH e infracciones  al Derecho Internacional Humanitario DIH en el Departamento del Quindío </v>
      </c>
      <c r="I71" s="224">
        <f>SUM('SGTO POAI 2024 ARMONIZADO'!AU96)</f>
        <v>75400000</v>
      </c>
      <c r="J71" s="224">
        <f>SUM('SGTO POAI 2024 ARMONIZADO'!AV96)</f>
        <v>75400000</v>
      </c>
      <c r="K71" s="167">
        <f t="shared" si="6"/>
        <v>1</v>
      </c>
      <c r="L71" s="224">
        <f>SUM('SGTO POAI 2024 ARMONIZADO'!AW96)</f>
        <v>71525200</v>
      </c>
      <c r="M71" s="166">
        <f t="shared" si="7"/>
        <v>0.94861007957559684</v>
      </c>
    </row>
    <row r="72" spans="1:13" s="142" customFormat="1" ht="75" customHeight="1" x14ac:dyDescent="0.25">
      <c r="A72" s="108">
        <v>309</v>
      </c>
      <c r="B72" s="108">
        <f>'SGTO POAI 2024 ARMONIZADO'!E97</f>
        <v>4</v>
      </c>
      <c r="C72" s="109" t="str">
        <f>'SGTO POAI 2024 ARMONIZADO'!J97</f>
        <v>Fortalecimiento del buen gobierno para el respeto y garantía de los derechos humanos</v>
      </c>
      <c r="D72" s="108">
        <f>'SGTO POAI 2024 ARMONIZADO'!I97</f>
        <v>4502</v>
      </c>
      <c r="E72" s="109" t="str">
        <f>'SGTO POAI 2024 ARMONIZADO'!J97</f>
        <v>Fortalecimiento del buen gobierno para el respeto y garantía de los derechos humanos</v>
      </c>
      <c r="F72" s="108">
        <f t="shared" si="5"/>
        <v>65</v>
      </c>
      <c r="G72" s="108">
        <f>'SGTO POAI 2024 ARMONIZADO'!R97</f>
        <v>2024003630074</v>
      </c>
      <c r="H72" s="17" t="str">
        <f>'SGTO POAI 2024 ARMONIZADO'!S97</f>
        <v xml:space="preserve">Fortalecimiento de la capacidad institucional de los actores sociales en la consolidación de acciones conjuntas y sostenibles, que prevengan, promuevan y protejan los derechos humanos y el derecho en el Departamento del Quindío 						</v>
      </c>
      <c r="I72" s="224">
        <f>SUM('SGTO POAI 2024 ARMONIZADO'!AU97)</f>
        <v>47600000</v>
      </c>
      <c r="J72" s="224">
        <f>SUM('SGTO POAI 2024 ARMONIZADO'!AV97)</f>
        <v>47146666</v>
      </c>
      <c r="K72" s="167">
        <f t="shared" si="6"/>
        <v>0.99047617647058828</v>
      </c>
      <c r="L72" s="224">
        <f>SUM('SGTO POAI 2024 ARMONIZADO'!AW97)</f>
        <v>32600000</v>
      </c>
      <c r="M72" s="166">
        <f t="shared" si="7"/>
        <v>0.68487394957983194</v>
      </c>
    </row>
    <row r="73" spans="1:13" s="142" customFormat="1" ht="70.5" customHeight="1" x14ac:dyDescent="0.25">
      <c r="A73" s="108">
        <v>309</v>
      </c>
      <c r="B73" s="108">
        <f>'SGTO POAI 2024 ARMONIZADO'!E98</f>
        <v>4</v>
      </c>
      <c r="C73" s="109" t="str">
        <f>'SGTO POAI 2024 ARMONIZADO'!F98</f>
        <v>Gobernabilidad, Fortalecimiento Institucional y Seguridad. “Quindío territorio seguro y confiable”</v>
      </c>
      <c r="D73" s="108">
        <f>'SGTO POAI 2024 ARMONIZADO'!I98</f>
        <v>4502</v>
      </c>
      <c r="E73" s="109" t="str">
        <f>'SGTO POAI 2024 ARMONIZADO'!J98</f>
        <v>Fortalecimiento del buen gobierno para el respeto y garantía de los derechos humanos</v>
      </c>
      <c r="F73" s="108">
        <f t="shared" si="5"/>
        <v>66</v>
      </c>
      <c r="G73" s="108">
        <f>'SGTO POAI 2024 ARMONIZADO'!R98</f>
        <v>2020003630071</v>
      </c>
      <c r="H73" s="17" t="str">
        <f>'SGTO POAI 2024 ARMONIZADO'!S98</f>
        <v xml:space="preserve">Fortalecimiento de la participación ciudadana veedurías y organizaciones comunales para el cumplimiento protección y restablecimiento de los derechos contemplados en la Constitución Política    </v>
      </c>
      <c r="I73" s="224">
        <f>SUM('SGTO POAI 2024 ARMONIZADO'!AU98:AU101)</f>
        <v>1756365354</v>
      </c>
      <c r="J73" s="224">
        <f>SUM('SGTO POAI 2024 ARMONIZADO'!AV98:AV101)</f>
        <v>1756365354</v>
      </c>
      <c r="K73" s="167">
        <f t="shared" si="6"/>
        <v>1</v>
      </c>
      <c r="L73" s="224">
        <f>SUM('SGTO POAI 2024 ARMONIZADO'!AW98:AW101)</f>
        <v>1747365354</v>
      </c>
      <c r="M73" s="166">
        <f t="shared" si="7"/>
        <v>0.99487578140874666</v>
      </c>
    </row>
    <row r="74" spans="1:13" s="142" customFormat="1" ht="82.5" customHeight="1" x14ac:dyDescent="0.25">
      <c r="A74" s="108">
        <v>309</v>
      </c>
      <c r="B74" s="108">
        <f>'SGTO POAI 2024 ARMONIZADO'!E102</f>
        <v>4</v>
      </c>
      <c r="C74" s="109" t="str">
        <f>'SGTO POAI 2024 ARMONIZADO'!F102</f>
        <v>Gobernabilidad, Fortalecimiento Institucional y Seguridad. “Quindío territorio seguro y confiable”</v>
      </c>
      <c r="D74" s="108">
        <f>'SGTO POAI 2024 ARMONIZADO'!I102</f>
        <v>4502</v>
      </c>
      <c r="E74" s="109" t="str">
        <f>'SGTO POAI 2024 ARMONIZADO'!J102</f>
        <v>Fortalecimiento del buen gobierno para el respeto y garantía de los derechos humanos</v>
      </c>
      <c r="F74" s="108">
        <f t="shared" si="5"/>
        <v>67</v>
      </c>
      <c r="G74" s="108">
        <f>'SGTO POAI 2024 ARMONIZADO'!R102</f>
        <v>2024003630083</v>
      </c>
      <c r="H74" s="112" t="str">
        <f>'SGTO POAI 2024 ARMONIZADO'!S102</f>
        <v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v>
      </c>
      <c r="I74" s="224">
        <f>SUM('SGTO POAI 2024 ARMONIZADO'!AU102:AU104)</f>
        <v>336739265.63999999</v>
      </c>
      <c r="J74" s="224">
        <f>SUM('SGTO POAI 2024 ARMONIZADO'!AV102:AV104)</f>
        <v>288846665</v>
      </c>
      <c r="K74" s="167">
        <f t="shared" si="6"/>
        <v>0.85777541995592266</v>
      </c>
      <c r="L74" s="224">
        <f>SUM('SGTO POAI 2024 ARMONIZADO'!AW102:AW104)</f>
        <v>104700000</v>
      </c>
      <c r="M74" s="166">
        <f t="shared" si="7"/>
        <v>0.31092305140301724</v>
      </c>
    </row>
    <row r="75" spans="1:13" s="142" customFormat="1" ht="37.5" customHeight="1" x14ac:dyDescent="0.25">
      <c r="A75" s="108">
        <v>309</v>
      </c>
      <c r="B75" s="108">
        <f>'SGTO POAI 2024 ARMONIZADO'!E105</f>
        <v>4</v>
      </c>
      <c r="C75" s="109" t="str">
        <f>'SGTO POAI 2024 ARMONIZADO'!F105</f>
        <v>Gobernabilidad, Fortalecimiento Institucional y Seguridad. “Quindío territorio seguro y confiable”</v>
      </c>
      <c r="D75" s="108" t="str">
        <f>'SGTO POAI 2024 ARMONIZADO'!I105</f>
        <v>4599</v>
      </c>
      <c r="E75" s="109" t="str">
        <f>'SGTO POAI 2024 ARMONIZADO'!J105</f>
        <v>Fortalecimiento a la gestión y dirección de la administración pública territorial</v>
      </c>
      <c r="F75" s="108">
        <f t="shared" si="5"/>
        <v>68</v>
      </c>
      <c r="G75" s="108">
        <f>'SGTO POAI 2024 ARMONIZADO'!R105</f>
        <v>2024003630097</v>
      </c>
      <c r="H75" s="112" t="str">
        <f>'SGTO POAI 2024 ARMONIZADO'!S105</f>
        <v xml:space="preserve">Fortalecimiento de las políticas públicas en el departamento del Quindío 						
</v>
      </c>
      <c r="I75" s="224">
        <f>SUM('SGTO POAI 2024 ARMONIZADO'!AU105)</f>
        <v>25000000</v>
      </c>
      <c r="J75" s="224">
        <f>SUM('SGTO POAI 2024 ARMONIZADO'!AV105)</f>
        <v>17564645</v>
      </c>
      <c r="K75" s="167">
        <f t="shared" si="6"/>
        <v>0.70258580000000004</v>
      </c>
      <c r="L75" s="224">
        <f>SUM('SGTO POAI 2024 ARMONIZADO'!AW105)</f>
        <v>7400000</v>
      </c>
      <c r="M75" s="166">
        <f t="shared" si="7"/>
        <v>0.29599999999999999</v>
      </c>
    </row>
    <row r="76" spans="1:13" s="142" customFormat="1" ht="29.25" customHeight="1" x14ac:dyDescent="0.25">
      <c r="A76" s="16">
        <v>310</v>
      </c>
      <c r="B76" s="16"/>
      <c r="C76" s="16"/>
      <c r="D76" s="187"/>
      <c r="E76" s="12"/>
      <c r="F76" s="5" t="s">
        <v>1210</v>
      </c>
      <c r="G76" s="12"/>
      <c r="H76" s="10"/>
      <c r="I76" s="223">
        <f>SUM(I77:I83)</f>
        <v>6175637914.3900003</v>
      </c>
      <c r="J76" s="223">
        <f>SUM(J77:J83)</f>
        <v>4439294928.8999996</v>
      </c>
      <c r="K76" s="168">
        <f t="shared" si="6"/>
        <v>0.71883989807043147</v>
      </c>
      <c r="L76" s="223">
        <f>SUM(L77:L83)</f>
        <v>2860870876.0500002</v>
      </c>
      <c r="M76" s="168">
        <f t="shared" si="7"/>
        <v>0.46325107069244087</v>
      </c>
    </row>
    <row r="77" spans="1:13" s="142" customFormat="1" ht="60" customHeight="1" x14ac:dyDescent="0.25">
      <c r="A77" s="108">
        <v>310</v>
      </c>
      <c r="B77" s="108">
        <f>'SGTO POAI 2024 ARMONIZADO'!E106</f>
        <v>1</v>
      </c>
      <c r="C77" s="109" t="str">
        <f>'SGTO POAI 2024 ARMONIZADO'!F106</f>
        <v>Social, Inclusiva y Participativa. "En el Quindío todos caben y nadie se quedan atrás".</v>
      </c>
      <c r="D77" s="108">
        <f>'SGTO POAI 2024 ARMONIZADO'!I107</f>
        <v>3301</v>
      </c>
      <c r="E77" s="109" t="str">
        <f>'SGTO POAI 2024 ARMONIZADO'!J107</f>
        <v>Promoción y acceso efectivo a procesos culturales y artísticos</v>
      </c>
      <c r="F77" s="108">
        <f>F75+1</f>
        <v>69</v>
      </c>
      <c r="G77" s="108">
        <f>'SGTO POAI 2024 ARMONIZADO'!R107</f>
        <v>2020003630020</v>
      </c>
      <c r="H77" s="112" t="str">
        <f>'SGTO POAI 2024 ARMONIZADO'!S107</f>
        <v xml:space="preserve">Implementación del programa "Tú y Yo Somos Cultura", para el fortalecimiento a la lectura,  escritura  y bibliotecas en el Departamento del Quindío   </v>
      </c>
      <c r="I77" s="224">
        <f>SUM('SGTO POAI 2024 ARMONIZADO'!AU107:AU108)</f>
        <v>330058971</v>
      </c>
      <c r="J77" s="224">
        <f>SUM('SGTO POAI 2024 ARMONIZADO'!AV107:AV108)</f>
        <v>330058971</v>
      </c>
      <c r="K77" s="167">
        <f t="shared" si="6"/>
        <v>1</v>
      </c>
      <c r="L77" s="224">
        <f>SUM('SGTO POAI 2024 ARMONIZADO'!AW107:AW108)</f>
        <v>324498971</v>
      </c>
      <c r="M77" s="166">
        <f t="shared" si="7"/>
        <v>0.98315452543781945</v>
      </c>
    </row>
    <row r="78" spans="1:13" s="142" customFormat="1" ht="60" customHeight="1" x14ac:dyDescent="0.25">
      <c r="A78" s="108">
        <f>'SGTO POAI 2024 ARMONIZADO'!A106</f>
        <v>310</v>
      </c>
      <c r="B78" s="108">
        <f>'SGTO POAI 2024 ARMONIZADO'!E107</f>
        <v>1</v>
      </c>
      <c r="C78" s="109" t="str">
        <f>'SGTO POAI 2024 ARMONIZADO'!F107</f>
        <v>Social, Inclusiva y Participativa. "En el Quindío todos caben y nadie se quedan atrás".</v>
      </c>
      <c r="D78" s="108">
        <f>'SGTO POAI 2024 ARMONIZADO'!I106</f>
        <v>3301</v>
      </c>
      <c r="E78" s="109" t="str">
        <f>'SGTO POAI 2024 ARMONIZADO'!J106</f>
        <v>Promoción y acceso efectivo a procesos culturales y artísticos</v>
      </c>
      <c r="F78" s="108">
        <f>F77+1</f>
        <v>70</v>
      </c>
      <c r="G78" s="108">
        <f>'SGTO POAI 2024 ARMONIZADO'!R106</f>
        <v>2020003630021</v>
      </c>
      <c r="H78" s="113" t="str">
        <f>'SGTO POAI 2024 ARMONIZADO'!S106</f>
        <v xml:space="preserve">Implementación de la "Ruta de la felicidad y la identidad quindiana", para el fortalecimiento y visibilización de los procesos artísticos y culturales en el Departamento del Quindío  </v>
      </c>
      <c r="I78" s="224">
        <f>'SGTO POAI 2024 ARMONIZADO'!AU106+'SGTO POAI 2024 ARMONIZADO'!AU113+'SGTO POAI 2024 ARMONIZADO'!AU119</f>
        <v>3109838333</v>
      </c>
      <c r="J78" s="224">
        <f>'SGTO POAI 2024 ARMONIZADO'!AV106+'SGTO POAI 2024 ARMONIZADO'!AV113+'SGTO POAI 2024 ARMONIZADO'!AV119</f>
        <v>2816908837.9000001</v>
      </c>
      <c r="K78" s="167">
        <f t="shared" si="6"/>
        <v>0.90580555523044937</v>
      </c>
      <c r="L78" s="224">
        <f>'SGTO POAI 2024 ARMONIZADO'!AW106+'SGTO POAI 2024 ARMONIZADO'!AW113+'SGTO POAI 2024 ARMONIZADO'!AW119</f>
        <v>2094705241.9000001</v>
      </c>
      <c r="M78" s="166">
        <f t="shared" si="7"/>
        <v>0.67357367734266727</v>
      </c>
    </row>
    <row r="79" spans="1:13" s="142" customFormat="1" ht="60" customHeight="1" x14ac:dyDescent="0.25">
      <c r="A79" s="108">
        <v>310</v>
      </c>
      <c r="B79" s="108">
        <f>'SGTO POAI 2024 ARMONIZADO'!E108</f>
        <v>1</v>
      </c>
      <c r="C79" s="109" t="str">
        <f>'SGTO POAI 2024 ARMONIZADO'!F108</f>
        <v>Social, Inclusiva y Participativa. "En el Quindío todos caben y nadie se quedan atrás".</v>
      </c>
      <c r="D79" s="108">
        <f>'SGTO POAI 2024 ARMONIZADO'!I109</f>
        <v>3301</v>
      </c>
      <c r="E79" s="109" t="str">
        <f>'SGTO POAI 2024 ARMONIZADO'!J109</f>
        <v>Promoción y acceso efectivo a procesos culturales y artísticos</v>
      </c>
      <c r="F79" s="108">
        <f>F78+1</f>
        <v>71</v>
      </c>
      <c r="G79" s="108">
        <f>'SGTO POAI 2024 ARMONIZADO'!R109</f>
        <v>2024003630050</v>
      </c>
      <c r="H79" s="112" t="str">
        <f>'SGTO POAI 2024 ARMONIZADO'!S109</f>
        <v>Fortalecimiento de los espacios convencionales y no convencionales que garanticen el acceso a la lectura, escritura y oralidad en el departamento del Quindío</v>
      </c>
      <c r="I79" s="224">
        <f>SUM('SGTO POAI 2024 ARMONIZADO'!AU109:AU112)</f>
        <v>469396261.59000003</v>
      </c>
      <c r="J79" s="224">
        <f>SUM('SGTO POAI 2024 ARMONIZADO'!AV109:AV112)</f>
        <v>201516593</v>
      </c>
      <c r="K79" s="167">
        <f t="shared" si="6"/>
        <v>0.42931017881863143</v>
      </c>
      <c r="L79" s="224">
        <f>SUM('SGTO POAI 2024 ARMONIZADO'!AW109:AW112)</f>
        <v>85816666</v>
      </c>
      <c r="M79" s="166">
        <f t="shared" si="7"/>
        <v>0.18282349695183051</v>
      </c>
    </row>
    <row r="80" spans="1:13" s="142" customFormat="1" ht="45.75" customHeight="1" x14ac:dyDescent="0.25">
      <c r="A80" s="108">
        <v>310</v>
      </c>
      <c r="B80" s="108">
        <f>'SGTO POAI 2024 ARMONIZADO'!E109</f>
        <v>1</v>
      </c>
      <c r="C80" s="109" t="str">
        <f>'SGTO POAI 2024 ARMONIZADO'!F109</f>
        <v>Social, Inclusiva y Participativa. "En el Quindío todos caben y nadie se quedan atrás".</v>
      </c>
      <c r="D80" s="108">
        <f>'SGTO POAI 2024 ARMONIZADO'!I114</f>
        <v>3301</v>
      </c>
      <c r="E80" s="109" t="str">
        <f>'SGTO POAI 2024 ARMONIZADO'!J114</f>
        <v>Promoción y acceso efectivo a procesos culturales y artísticos</v>
      </c>
      <c r="F80" s="108">
        <f t="shared" si="5"/>
        <v>72</v>
      </c>
      <c r="G80" s="108">
        <f>'SGTO POAI 2024 ARMONIZADO'!R114</f>
        <v>2024003630051</v>
      </c>
      <c r="H80" s="112" t="str">
        <f>'SGTO POAI 2024 ARMONIZADO'!S114</f>
        <v>Fortalecimiento de la formación del arte y la cultura para la construcción de la paz en el Departamento del Quindío.</v>
      </c>
      <c r="I80" s="224">
        <f>SUM('SGTO POAI 2024 ARMONIZADO'!AU114:AU118)</f>
        <v>1783183523.5</v>
      </c>
      <c r="J80" s="224">
        <f>SUM('SGTO POAI 2024 ARMONIZADO'!AV114:AV118)</f>
        <v>884810526.99999988</v>
      </c>
      <c r="K80" s="167">
        <f t="shared" si="6"/>
        <v>0.49619711899497027</v>
      </c>
      <c r="L80" s="224">
        <f>SUM('SGTO POAI 2024 ARMONIZADO'!AW114:AW118)</f>
        <v>251550000</v>
      </c>
      <c r="M80" s="166">
        <f t="shared" si="7"/>
        <v>0.14106792524992731</v>
      </c>
    </row>
    <row r="81" spans="1:13" s="142" customFormat="1" ht="38.25" customHeight="1" x14ac:dyDescent="0.25">
      <c r="A81" s="108">
        <v>310</v>
      </c>
      <c r="B81" s="108">
        <f>'SGTO POAI 2024 ARMONIZADO'!E110</f>
        <v>1</v>
      </c>
      <c r="C81" s="109" t="str">
        <f>'SGTO POAI 2024 ARMONIZADO'!F110</f>
        <v>Social, Inclusiva y Participativa. "En el Quindío todos caben y nadie se quedan atrás".</v>
      </c>
      <c r="D81" s="108">
        <f>'SGTO POAI 2024 ARMONIZADO'!I120</f>
        <v>3301</v>
      </c>
      <c r="E81" s="109" t="str">
        <f>'SGTO POAI 2024 ARMONIZADO'!J120</f>
        <v>Promoción y acceso efectivo a procesos culturales y artísticos</v>
      </c>
      <c r="F81" s="108">
        <f t="shared" si="5"/>
        <v>73</v>
      </c>
      <c r="G81" s="108">
        <f>'SGTO POAI 2024 ARMONIZADO'!R120</f>
        <v>2024003630049</v>
      </c>
      <c r="H81" s="112" t="str">
        <f>'SGTO POAI 2024 ARMONIZADO'!S120</f>
        <v>Fortalecimiento de la gobernanza cultural en el Quindío</v>
      </c>
      <c r="I81" s="224">
        <f>SUM('SGTO POAI 2024 ARMONIZADO'!AU120:AU125)</f>
        <v>182000000</v>
      </c>
      <c r="J81" s="224">
        <f>SUM('SGTO POAI 2024 ARMONIZADO'!AV120:AV125)</f>
        <v>45850000</v>
      </c>
      <c r="K81" s="167">
        <f t="shared" si="6"/>
        <v>0.25192307692307692</v>
      </c>
      <c r="L81" s="224">
        <f>SUM('SGTO POAI 2024 ARMONIZADO'!AW120:AW125)</f>
        <v>12300000</v>
      </c>
      <c r="M81" s="166">
        <f t="shared" si="7"/>
        <v>6.7582417582417578E-2</v>
      </c>
    </row>
    <row r="82" spans="1:13" s="142" customFormat="1" ht="75" customHeight="1" x14ac:dyDescent="0.25">
      <c r="A82" s="108">
        <v>310</v>
      </c>
      <c r="B82" s="108">
        <f>'SGTO POAI 2024 ARMONIZADO'!E111</f>
        <v>1</v>
      </c>
      <c r="C82" s="109" t="str">
        <f>'SGTO POAI 2024 ARMONIZADO'!F111</f>
        <v>Social, Inclusiva y Participativa. "En el Quindío todos caben y nadie se quedan atrás".</v>
      </c>
      <c r="D82" s="108">
        <f>'SGTO POAI 2024 ARMONIZADO'!I126</f>
        <v>3302</v>
      </c>
      <c r="E82" s="109" t="str">
        <f>'SGTO POAI 2024 ARMONIZADO'!J126</f>
        <v>Gestión, protección y salvaguardia del patrimonio cultural colombiano</v>
      </c>
      <c r="F82" s="108">
        <f t="shared" si="5"/>
        <v>74</v>
      </c>
      <c r="G82" s="108">
        <f>'SGTO POAI 2024 ARMONIZADO'!R126</f>
        <v>2020003630073</v>
      </c>
      <c r="H82" s="112" t="str">
        <f>'SGTO POAI 2024 ARMONIZADO'!S126</f>
        <v xml:space="preserve">Apoyo al Paisaje, Café y Tradición mediante procesos de manejo, gestión, asistencia técnica, divulgación y publicación del patrimonio, arqueológico, antropológico e histórico en el Departamento del Quindío </v>
      </c>
      <c r="I82" s="224">
        <f>SUM('SGTO POAI 2024 ARMONIZADO'!AU126:AU127)</f>
        <v>77300000</v>
      </c>
      <c r="J82" s="224">
        <f>SUM('SGTO POAI 2024 ARMONIZADO'!AV126:AV127)</f>
        <v>77300000</v>
      </c>
      <c r="K82" s="167">
        <f t="shared" si="6"/>
        <v>1</v>
      </c>
      <c r="L82" s="224">
        <f>SUM('SGTO POAI 2024 ARMONIZADO'!AW126:AW127)</f>
        <v>70899997.150000006</v>
      </c>
      <c r="M82" s="166">
        <f t="shared" si="7"/>
        <v>0.9172056552393274</v>
      </c>
    </row>
    <row r="83" spans="1:13" s="142" customFormat="1" ht="60" customHeight="1" x14ac:dyDescent="0.25">
      <c r="A83" s="108">
        <v>310</v>
      </c>
      <c r="B83" s="108">
        <f>'SGTO POAI 2024 ARMONIZADO'!E112</f>
        <v>1</v>
      </c>
      <c r="C83" s="109" t="str">
        <f>'SGTO POAI 2024 ARMONIZADO'!F112</f>
        <v>Social, Inclusiva y Participativa. "En el Quindío todos caben y nadie se quedan atrás".</v>
      </c>
      <c r="D83" s="108">
        <f>'SGTO POAI 2024 ARMONIZADO'!I128</f>
        <v>3302</v>
      </c>
      <c r="E83" s="109" t="str">
        <f>'SGTO POAI 2024 ARMONIZADO'!J128</f>
        <v>Gestión, protección y salvaguardia del patrimonio cultural colombiano</v>
      </c>
      <c r="F83" s="108">
        <f t="shared" si="5"/>
        <v>75</v>
      </c>
      <c r="G83" s="108">
        <f>'SGTO POAI 2024 ARMONIZADO'!R128</f>
        <v>2024003630046</v>
      </c>
      <c r="H83" s="112" t="str">
        <f>'SGTO POAI 2024 ARMONIZADO'!S128</f>
        <v>Apoyo a actividades que reconozcan la Diversidad, fomenten el Diálogo Cultural, los Saberes y la Memoria para la sostenibilidad del Patrimonio Cultural del Quindío</v>
      </c>
      <c r="I83" s="224">
        <f>SUM('SGTO POAI 2024 ARMONIZADO'!AU128:AU131)</f>
        <v>223860825.30000001</v>
      </c>
      <c r="J83" s="224">
        <f>SUM('SGTO POAI 2024 ARMONIZADO'!AV128:AV131)</f>
        <v>82850000</v>
      </c>
      <c r="K83" s="167">
        <f t="shared" si="6"/>
        <v>0.37009601786722257</v>
      </c>
      <c r="L83" s="224">
        <f>SUM('SGTO POAI 2024 ARMONIZADO'!AW128:AW131)</f>
        <v>21100000</v>
      </c>
      <c r="M83" s="166">
        <f t="shared" si="7"/>
        <v>9.4254990669865979E-2</v>
      </c>
    </row>
    <row r="84" spans="1:13" s="142" customFormat="1" ht="31.5" customHeight="1" x14ac:dyDescent="0.25">
      <c r="A84" s="16">
        <v>311</v>
      </c>
      <c r="B84" s="16"/>
      <c r="C84" s="16"/>
      <c r="D84" s="187"/>
      <c r="E84" s="12"/>
      <c r="F84" s="5" t="s">
        <v>1130</v>
      </c>
      <c r="G84" s="6"/>
      <c r="H84" s="10"/>
      <c r="I84" s="223">
        <f>SUM(I85:I97)</f>
        <v>8607618879.0200005</v>
      </c>
      <c r="J84" s="223">
        <f>SUM(J85:J97)</f>
        <v>7915520249</v>
      </c>
      <c r="K84" s="168">
        <f t="shared" si="6"/>
        <v>0.91959464751548137</v>
      </c>
      <c r="L84" s="223">
        <f>SUM(L85:L97)</f>
        <v>7504767261.6700001</v>
      </c>
      <c r="M84" s="168">
        <f t="shared" si="7"/>
        <v>0.87187494789783693</v>
      </c>
    </row>
    <row r="85" spans="1:13" s="142" customFormat="1" ht="40.5" customHeight="1" x14ac:dyDescent="0.25">
      <c r="A85" s="108">
        <v>311</v>
      </c>
      <c r="B85" s="108">
        <f>'SGTO POAI 2024 ARMONIZADO'!E132</f>
        <v>3</v>
      </c>
      <c r="C85" s="109" t="str">
        <f>'SGTO POAI 2024 ARMONIZADO'!F132</f>
        <v>Convergencia Territorial.  “Quindío interconectado territorialmente, donde el progreso y las oportunidades llegan a todos los rincones”</v>
      </c>
      <c r="D85" s="108">
        <f>'SGTO POAI 2024 ARMONIZADO'!I132</f>
        <v>3502</v>
      </c>
      <c r="E85" s="109" t="str">
        <f>'SGTO POAI 2024 ARMONIZADO'!J132</f>
        <v xml:space="preserve">Productividad y competitividad de las empresas colombianas </v>
      </c>
      <c r="F85" s="108">
        <f>F83+1</f>
        <v>76</v>
      </c>
      <c r="G85" s="108">
        <f>'SGTO POAI 2024 ARMONIZADO'!R132</f>
        <v>2020003630074</v>
      </c>
      <c r="H85" s="112" t="str">
        <f>'SGTO POAI 2024 ARMONIZADO'!S132</f>
        <v xml:space="preserve">Fortalecimiento de la competitividad y productividad en el  departamento del Quindío </v>
      </c>
      <c r="I85" s="224">
        <f>'SGTO POAI 2024 ARMONIZADO'!AL132</f>
        <v>55600000</v>
      </c>
      <c r="J85" s="224">
        <f>'SGTO POAI 2024 ARMONIZADO'!AM132</f>
        <v>55600000</v>
      </c>
      <c r="K85" s="167">
        <f t="shared" si="6"/>
        <v>1</v>
      </c>
      <c r="L85" s="224">
        <f>'SGTO POAI 2024 ARMONIZADO'!AN132</f>
        <v>55600000</v>
      </c>
      <c r="M85" s="166">
        <f t="shared" si="7"/>
        <v>1</v>
      </c>
    </row>
    <row r="86" spans="1:13" s="142" customFormat="1" ht="38.25" customHeight="1" x14ac:dyDescent="0.25">
      <c r="A86" s="108">
        <v>311</v>
      </c>
      <c r="B86" s="108">
        <f>'SGTO POAI 2024 ARMONIZADO'!E133</f>
        <v>2</v>
      </c>
      <c r="C86" s="109" t="str">
        <f>'SGTO POAI 2024 ARMONIZADO'!F133</f>
        <v>Productividad, Competitividad y Medio Ambiente. “Quindío amigo de las empresas y el empleo. Quindío verde, territorio de agua, agricultura y medio ambiente”</v>
      </c>
      <c r="D86" s="108">
        <f>'SGTO POAI 2024 ARMONIZADO'!I133</f>
        <v>3502</v>
      </c>
      <c r="E86" s="109" t="str">
        <f>'SGTO POAI 2024 ARMONIZADO'!J133</f>
        <v xml:space="preserve">Productividad y competitividad de las empresas colombianas </v>
      </c>
      <c r="F86" s="108">
        <v>76</v>
      </c>
      <c r="G86" s="108">
        <f>'SGTO POAI 2024 ARMONIZADO'!R133</f>
        <v>2020003630074</v>
      </c>
      <c r="H86" s="113" t="str">
        <f>'SGTO POAI 2024 ARMONIZADO'!S133</f>
        <v xml:space="preserve">Fortalecimiento de la competitividad y productividad en el  departamento del Quindío </v>
      </c>
      <c r="I86" s="224">
        <f>'SGTO POAI 2024 ARMONIZADO'!AL133</f>
        <v>30000000</v>
      </c>
      <c r="J86" s="224">
        <f>'SGTO POAI 2024 ARMONIZADO'!AM133</f>
        <v>30000000</v>
      </c>
      <c r="K86" s="167">
        <f t="shared" si="6"/>
        <v>1</v>
      </c>
      <c r="L86" s="224">
        <f>'SGTO POAI 2024 ARMONIZADO'!AN133</f>
        <v>30000000</v>
      </c>
      <c r="M86" s="166">
        <f t="shared" si="7"/>
        <v>1</v>
      </c>
    </row>
    <row r="87" spans="1:13" s="142" customFormat="1" ht="55.5" customHeight="1" x14ac:dyDescent="0.25">
      <c r="A87" s="108">
        <v>311</v>
      </c>
      <c r="B87" s="108">
        <f>'SGTO POAI 2024 ARMONIZADO'!E134</f>
        <v>3</v>
      </c>
      <c r="C87" s="109" t="str">
        <f>'SGTO POAI 2024 ARMONIZADO'!F134</f>
        <v>Convergencia Territorial.  “Quindío interconectado territorialmente, donde el progreso y las oportunidades llegan a todos los rincones”</v>
      </c>
      <c r="D87" s="108">
        <f>'SGTO POAI 2024 ARMONIZADO'!I134</f>
        <v>3502</v>
      </c>
      <c r="E87" s="109" t="str">
        <f>'SGTO POAI 2024 ARMONIZADO'!J134</f>
        <v xml:space="preserve">Productividad y competitividad de las empresas colombianas </v>
      </c>
      <c r="F87" s="108">
        <f>F85+1</f>
        <v>77</v>
      </c>
      <c r="G87" s="108">
        <f>'SGTO POAI 2024 ARMONIZADO'!R134</f>
        <v>2024003630055</v>
      </c>
      <c r="H87" s="112" t="str">
        <f>'SGTO POAI 2024 ARMONIZADO'!S134</f>
        <v>Asistencia para fomentar el desarrollo la competitividad y productividad empresarial en el departamento del Quindío</v>
      </c>
      <c r="I87" s="224">
        <f>'SGTO POAI 2024 ARMONIZADO'!AU134</f>
        <v>5400000</v>
      </c>
      <c r="J87" s="224">
        <f>'SGTO POAI 2024 ARMONIZADO'!AV134</f>
        <v>5400000</v>
      </c>
      <c r="K87" s="167">
        <f t="shared" si="6"/>
        <v>1</v>
      </c>
      <c r="L87" s="224">
        <f>'SGTO POAI 2024 ARMONIZADO'!AW134</f>
        <v>3700000</v>
      </c>
      <c r="M87" s="166">
        <f t="shared" si="7"/>
        <v>0.68518518518518523</v>
      </c>
    </row>
    <row r="88" spans="1:13" s="142" customFormat="1" ht="58.5" customHeight="1" x14ac:dyDescent="0.25">
      <c r="A88" s="108">
        <v>311</v>
      </c>
      <c r="B88" s="108">
        <f>'SGTO POAI 2024 ARMONIZADO'!E135</f>
        <v>2</v>
      </c>
      <c r="C88" s="109" t="str">
        <f>'SGTO POAI 2024 ARMONIZADO'!F135</f>
        <v>Productividad, Competitividad y Medio Ambiente. “Quindío amigo de las empresas y el empleo. Quindío verde, territorio de agua, agricultura y medio ambiente”</v>
      </c>
      <c r="D88" s="108">
        <f>'SGTO POAI 2024 ARMONIZADO'!I135</f>
        <v>3502</v>
      </c>
      <c r="E88" s="109" t="str">
        <f>'SGTO POAI 2024 ARMONIZADO'!J135</f>
        <v xml:space="preserve">Productividad y competitividad de las empresas colombianas </v>
      </c>
      <c r="F88" s="108">
        <v>77</v>
      </c>
      <c r="G88" s="108">
        <f>'SGTO POAI 2024 ARMONIZADO'!R134</f>
        <v>2024003630055</v>
      </c>
      <c r="H88" s="113" t="str">
        <f>'SGTO POAI 2024 ARMONIZADO'!S134</f>
        <v>Asistencia para fomentar el desarrollo la competitividad y productividad empresarial en el departamento del Quindío</v>
      </c>
      <c r="I88" s="224">
        <f>'SGTO POAI 2024 ARMONIZADO'!AU135+'SGTO POAI 2024 ARMONIZADO'!AU136</f>
        <v>67000000</v>
      </c>
      <c r="J88" s="224">
        <f>'SGTO POAI 2024 ARMONIZADO'!AV135+'SGTO POAI 2024 ARMONIZADO'!AV136</f>
        <v>61970000</v>
      </c>
      <c r="K88" s="167">
        <f t="shared" si="6"/>
        <v>0.92492537313432832</v>
      </c>
      <c r="L88" s="224">
        <f>'SGTO POAI 2024 ARMONIZADO'!AW135+'SGTO POAI 2024 ARMONIZADO'!AW136</f>
        <v>42900000</v>
      </c>
      <c r="M88" s="166">
        <f t="shared" si="7"/>
        <v>0.64029850746268657</v>
      </c>
    </row>
    <row r="89" spans="1:13" s="142" customFormat="1" ht="50.25" customHeight="1" x14ac:dyDescent="0.25">
      <c r="A89" s="108">
        <v>311</v>
      </c>
      <c r="B89" s="108">
        <f>'SGTO POAI 2024 ARMONIZADO'!E137</f>
        <v>3</v>
      </c>
      <c r="C89" s="109" t="str">
        <f>'SGTO POAI 2024 ARMONIZADO'!F137</f>
        <v>Convergencia Territorial.  “Quindío interconectado territorialmente, donde el progreso y las oportunidades llegan a todos los rincones”</v>
      </c>
      <c r="D89" s="108">
        <f>'SGTO POAI 2024 ARMONIZADO'!I137</f>
        <v>3502</v>
      </c>
      <c r="E89" s="109" t="str">
        <f>'SGTO POAI 2024 ARMONIZADO'!J137</f>
        <v xml:space="preserve">Productividad y competitividad de las empresas colombianas </v>
      </c>
      <c r="F89" s="108">
        <f>F87+1</f>
        <v>78</v>
      </c>
      <c r="G89" s="108">
        <f>'SGTO POAI 2024 ARMONIZADO'!R137</f>
        <v>2020003630076</v>
      </c>
      <c r="H89" s="112" t="str">
        <f>'SGTO POAI 2024 ARMONIZADO'!S137</f>
        <v>Mejoramiento de la competitividad del  departamento como destino turístico  sostenible y de calidad .</v>
      </c>
      <c r="I89" s="224">
        <f>SUM('SGTO POAI 2024 ARMONIZADO'!AU137)</f>
        <v>417587000</v>
      </c>
      <c r="J89" s="224">
        <f>SUM('SGTO POAI 2024 ARMONIZADO'!AV137)</f>
        <v>414587000</v>
      </c>
      <c r="K89" s="167">
        <f t="shared" si="6"/>
        <v>0.99281586831007673</v>
      </c>
      <c r="L89" s="224">
        <f>SUM('SGTO POAI 2024 ARMONIZADO'!AW137)</f>
        <v>396447439.67000002</v>
      </c>
      <c r="M89" s="166">
        <f t="shared" si="7"/>
        <v>0.94937687157406725</v>
      </c>
    </row>
    <row r="90" spans="1:13" s="142" customFormat="1" ht="60" customHeight="1" x14ac:dyDescent="0.25">
      <c r="A90" s="108">
        <v>311</v>
      </c>
      <c r="B90" s="108">
        <f>'SGTO POAI 2024 ARMONIZADO'!E138</f>
        <v>3</v>
      </c>
      <c r="C90" s="109" t="str">
        <f>'SGTO POAI 2024 ARMONIZADO'!F138</f>
        <v>Convergencia Territorial.  “Quindío interconectado territorialmente, donde el progreso y las oportunidades llegan a todos los rincones”</v>
      </c>
      <c r="D90" s="108">
        <f>'SGTO POAI 2024 ARMONIZADO'!I138</f>
        <v>3502</v>
      </c>
      <c r="E90" s="109" t="str">
        <f>'SGTO POAI 2024 ARMONIZADO'!J138</f>
        <v xml:space="preserve">Productividad y competitividad de las empresas colombianas </v>
      </c>
      <c r="F90" s="108">
        <f t="shared" ref="F90:F97" si="8">F89+1</f>
        <v>79</v>
      </c>
      <c r="G90" s="108">
        <f>'SGTO POAI 2024 ARMONIZADO'!R138</f>
        <v>2024003630069</v>
      </c>
      <c r="H90" s="112" t="str">
        <f>'SGTO POAI 2024 ARMONIZADO'!S138</f>
        <v>Desarrollo de lineamientos del Plan Estratégico de Turismo (PET) fomentando la práctica responsable y competitiva del sector en el departamento del Quindío</v>
      </c>
      <c r="I90" s="224">
        <f>'SGTO POAI 2024 ARMONIZADO'!AO138+'SGTO POAI 2024 ARMONIZADO'!AO139</f>
        <v>270196951.44999999</v>
      </c>
      <c r="J90" s="224">
        <f>'SGTO POAI 2024 ARMONIZADO'!AP138+'SGTO POAI 2024 ARMONIZADO'!AP139</f>
        <v>196009764</v>
      </c>
      <c r="K90" s="167">
        <f t="shared" si="6"/>
        <v>0.72543292197829123</v>
      </c>
      <c r="L90" s="224">
        <f>'SGTO POAI 2024 ARMONIZADO'!AQ138+'SGTO POAI 2024 ARMONIZADO'!AQ139</f>
        <v>104100000</v>
      </c>
      <c r="M90" s="166">
        <f t="shared" si="7"/>
        <v>0.38527451713038197</v>
      </c>
    </row>
    <row r="91" spans="1:13" s="142" customFormat="1" ht="55.5" customHeight="1" x14ac:dyDescent="0.25">
      <c r="A91" s="108">
        <v>311</v>
      </c>
      <c r="B91" s="108">
        <f>'SGTO POAI 2024 ARMONIZADO'!E140</f>
        <v>2</v>
      </c>
      <c r="C91" s="109" t="str">
        <f>'SGTO POAI 2024 ARMONIZADO'!F140</f>
        <v>Productividad, Competitividad y Medio Ambiente. “Quindío amigo de las empresas y el empleo. Quindío verde, territorio de agua, agricultura y medio ambiente”</v>
      </c>
      <c r="D91" s="108">
        <f>'SGTO POAI 2024 ARMONIZADO'!I140</f>
        <v>3502</v>
      </c>
      <c r="E91" s="109" t="str">
        <f>'SGTO POAI 2024 ARMONIZADO'!J140</f>
        <v xml:space="preserve">Productividad y competitividad de las empresas colombianas </v>
      </c>
      <c r="F91" s="108">
        <v>79</v>
      </c>
      <c r="G91" s="108">
        <f>'SGTO POAI 2024 ARMONIZADO'!R140</f>
        <v>2024003630069</v>
      </c>
      <c r="H91" s="113" t="str">
        <f>'SGTO POAI 2024 ARMONIZADO'!S140</f>
        <v>Desarrollo de lineamientos del Plan Estratégico de Turismo (PET) fomentando la práctica responsable y competitiva del sector en el departamento del Quindío</v>
      </c>
      <c r="I91" s="224">
        <f>'SGTO POAI 2024 ARMONIZADO'!AO140</f>
        <v>30000000</v>
      </c>
      <c r="J91" s="224">
        <f>'SGTO POAI 2024 ARMONIZADO'!AP140</f>
        <v>23653333</v>
      </c>
      <c r="K91" s="167">
        <f t="shared" si="6"/>
        <v>0.78844443333333336</v>
      </c>
      <c r="L91" s="224">
        <f>'SGTO POAI 2024 ARMONIZADO'!AQ140</f>
        <v>10200000</v>
      </c>
      <c r="M91" s="166">
        <f t="shared" si="7"/>
        <v>0.34</v>
      </c>
    </row>
    <row r="92" spans="1:13" s="142" customFormat="1" ht="42.75" customHeight="1" x14ac:dyDescent="0.25">
      <c r="A92" s="108">
        <v>311</v>
      </c>
      <c r="B92" s="108">
        <f>'SGTO POAI 2024 ARMONIZADO'!E141</f>
        <v>3</v>
      </c>
      <c r="C92" s="109" t="str">
        <f>'SGTO POAI 2024 ARMONIZADO'!F141</f>
        <v>Convergencia Territorial.  “Quindío interconectado territorialmente, donde el progreso y las oportunidades llegan a todos los rincones”</v>
      </c>
      <c r="D92" s="108">
        <f>'SGTO POAI 2024 ARMONIZADO'!I141</f>
        <v>3502</v>
      </c>
      <c r="E92" s="109" t="str">
        <f>'SGTO POAI 2024 ARMONIZADO'!J141</f>
        <v xml:space="preserve">Productividad y competitividad de las empresas colombianas </v>
      </c>
      <c r="F92" s="108">
        <f>F90+1</f>
        <v>80</v>
      </c>
      <c r="G92" s="108">
        <f>'SGTO POAI 2024 ARMONIZADO'!R141</f>
        <v>2020003630077</v>
      </c>
      <c r="H92" s="112" t="str">
        <f>'SGTO POAI 2024 ARMONIZADO'!S141</f>
        <v xml:space="preserve">Fortalecimiento de la promoción turística del destino Quindío a nivel  nacional e internacional </v>
      </c>
      <c r="I92" s="224">
        <f>SUM('SGTO POAI 2024 ARMONIZADO'!AU141)</f>
        <v>1441950000.0000002</v>
      </c>
      <c r="J92" s="224">
        <f>SUM('SGTO POAI 2024 ARMONIZADO'!AV141)</f>
        <v>1441950000</v>
      </c>
      <c r="K92" s="167">
        <f t="shared" si="6"/>
        <v>0.99999999999999989</v>
      </c>
      <c r="L92" s="224">
        <f>SUM('SGTO POAI 2024 ARMONIZADO'!AW141)</f>
        <v>1426712800</v>
      </c>
      <c r="M92" s="166">
        <f t="shared" si="7"/>
        <v>0.9894329206976662</v>
      </c>
    </row>
    <row r="93" spans="1:13" s="142" customFormat="1" ht="59.25" customHeight="1" x14ac:dyDescent="0.25">
      <c r="A93" s="108">
        <v>311</v>
      </c>
      <c r="B93" s="108">
        <f>'SGTO POAI 2024 ARMONIZADO'!E142</f>
        <v>3</v>
      </c>
      <c r="C93" s="109" t="str">
        <f>'SGTO POAI 2024 ARMONIZADO'!F142</f>
        <v>Convergencia Territorial.  “Quindío interconectado territorialmente, donde el progreso y las oportunidades llegan a todos los rincones”</v>
      </c>
      <c r="D93" s="108">
        <f>'SGTO POAI 2024 ARMONIZADO'!I142</f>
        <v>3502</v>
      </c>
      <c r="E93" s="109" t="str">
        <f>'SGTO POAI 2024 ARMONIZADO'!J142</f>
        <v xml:space="preserve">Productividad y competitividad de las empresas colombianas </v>
      </c>
      <c r="F93" s="108">
        <f t="shared" si="8"/>
        <v>81</v>
      </c>
      <c r="G93" s="108">
        <f>'SGTO POAI 2024 ARMONIZADO'!R142</f>
        <v>2024003630061</v>
      </c>
      <c r="H93" s="112" t="str">
        <f>'SGTO POAI 2024 ARMONIZADO'!S142</f>
        <v>Optimización en la difusión y promoción de la marca "Quindío corazón de Colombia" siguiendo los lineamientos del Plan Estratégico de Turismo (PET) Quindío</v>
      </c>
      <c r="I93" s="224">
        <f>SUM('SGTO POAI 2024 ARMONIZADO'!AU142:AU143)</f>
        <v>5507534927.5699997</v>
      </c>
      <c r="J93" s="224">
        <f>SUM('SGTO POAI 2024 ARMONIZADO'!AV142:AV143)</f>
        <v>5270603063</v>
      </c>
      <c r="K93" s="167">
        <f t="shared" si="6"/>
        <v>0.95698041543341839</v>
      </c>
      <c r="L93" s="224">
        <f>SUM('SGTO POAI 2024 ARMONIZADO'!AW142:AW143)</f>
        <v>5112906598</v>
      </c>
      <c r="M93" s="166">
        <f t="shared" si="7"/>
        <v>0.928347557526228</v>
      </c>
    </row>
    <row r="94" spans="1:13" s="142" customFormat="1" ht="36.75" customHeight="1" x14ac:dyDescent="0.25">
      <c r="A94" s="108">
        <v>311</v>
      </c>
      <c r="B94" s="108">
        <f>'SGTO POAI 2024 ARMONIZADO'!E144</f>
        <v>2</v>
      </c>
      <c r="C94" s="109" t="str">
        <f>'SGTO POAI 2024 ARMONIZADO'!F144</f>
        <v>Productividad, Competitividad y Medio Ambiente. “Quindío amigo de las empresas y el empleo. Quindío verde, territorio de agua, agricultura y medio ambiente”</v>
      </c>
      <c r="D94" s="108">
        <f>'SGTO POAI 2024 ARMONIZADO'!I144</f>
        <v>3602</v>
      </c>
      <c r="E94" s="109" t="str">
        <f>'SGTO POAI 2024 ARMONIZADO'!J144</f>
        <v>Generación y formalización del empleo</v>
      </c>
      <c r="F94" s="108">
        <f t="shared" si="8"/>
        <v>82</v>
      </c>
      <c r="G94" s="108">
        <f>'SGTO POAI 2024 ARMONIZADO'!R144</f>
        <v>2020003630078</v>
      </c>
      <c r="H94" s="112" t="str">
        <f>'SGTO POAI 2024 ARMONIZADO'!S144</f>
        <v>Apoyo a la generación y formalización del empleo en el departamento del Quindío</v>
      </c>
      <c r="I94" s="224">
        <f>SUM('SGTO POAI 2024 ARMONIZADO'!AU144:AU145)</f>
        <v>82900424</v>
      </c>
      <c r="J94" s="224">
        <f>SUM('SGTO POAI 2024 ARMONIZADO'!AV144:AV145)</f>
        <v>82900424</v>
      </c>
      <c r="K94" s="167">
        <f t="shared" si="6"/>
        <v>1</v>
      </c>
      <c r="L94" s="224">
        <f>SUM('SGTO POAI 2024 ARMONIZADO'!AW144:AW145)</f>
        <v>82900424</v>
      </c>
      <c r="M94" s="166">
        <f t="shared" si="7"/>
        <v>1</v>
      </c>
    </row>
    <row r="95" spans="1:13" s="142" customFormat="1" ht="54.75" customHeight="1" x14ac:dyDescent="0.25">
      <c r="A95" s="108">
        <v>311</v>
      </c>
      <c r="B95" s="108">
        <f>'SGTO POAI 2024 ARMONIZADO'!E146</f>
        <v>2</v>
      </c>
      <c r="C95" s="109" t="str">
        <f>'SGTO POAI 2024 ARMONIZADO'!F146</f>
        <v>Productividad, Competitividad y Medio Ambiente. “Quindío amigo de las empresas y el empleo. Quindío verde, territorio de agua, agricultura y medio ambiente”</v>
      </c>
      <c r="D95" s="108">
        <f>'SGTO POAI 2024 ARMONIZADO'!I146</f>
        <v>3602</v>
      </c>
      <c r="E95" s="109" t="str">
        <f>'SGTO POAI 2024 ARMONIZADO'!J146</f>
        <v>Generación y formalización del empleo</v>
      </c>
      <c r="F95" s="108">
        <f t="shared" si="8"/>
        <v>83</v>
      </c>
      <c r="G95" s="108">
        <f>'SGTO POAI 2024 ARMONIZADO'!R146</f>
        <v>2024003630058</v>
      </c>
      <c r="H95" s="112" t="str">
        <f>'SGTO POAI 2024 ARMONIZADO'!S146</f>
        <v>Fortalecimiento, implementación y articulación del ecosistema del emprendimiento y del sector trabajo en el departamento del Quindío</v>
      </c>
      <c r="I95" s="224">
        <f>SUM('SGTO POAI 2024 ARMONIZADO'!AU146:AU148)</f>
        <v>649449576</v>
      </c>
      <c r="J95" s="224">
        <f>SUM('SGTO POAI 2024 ARMONIZADO'!AV146:AV148)</f>
        <v>310466665</v>
      </c>
      <c r="K95" s="167">
        <f t="shared" si="6"/>
        <v>0.4780458352320181</v>
      </c>
      <c r="L95" s="224">
        <f>SUM('SGTO POAI 2024 ARMONIZADO'!AW146:AW148)</f>
        <v>224800000</v>
      </c>
      <c r="M95" s="166">
        <f t="shared" si="7"/>
        <v>0.34613926670728939</v>
      </c>
    </row>
    <row r="96" spans="1:13" s="142" customFormat="1" ht="60" customHeight="1" x14ac:dyDescent="0.25">
      <c r="A96" s="108">
        <v>311</v>
      </c>
      <c r="B96" s="108">
        <f>'SGTO POAI 2024 ARMONIZADO'!E149</f>
        <v>2</v>
      </c>
      <c r="C96" s="109" t="str">
        <f>'SGTO POAI 2024 ARMONIZADO'!F149</f>
        <v>Productividad, Competitividad y Medio Ambiente. “Quindío amigo de las empresas y el empleo. Quindío verde, territorio de agua, agricultura y medio ambiente”</v>
      </c>
      <c r="D96" s="108">
        <f>'SGTO POAI 2024 ARMONIZADO'!I149</f>
        <v>3906</v>
      </c>
      <c r="E96" s="17" t="str">
        <f>'SGTO POAI 2024 ARMONIZADO'!J149</f>
        <v>Fomento a vocaciones y formación, generación, uso y apropiación social del conocimiento de la ciencia, tecnología e innovación</v>
      </c>
      <c r="F96" s="108">
        <f t="shared" si="8"/>
        <v>84</v>
      </c>
      <c r="G96" s="108">
        <f>'SGTO POAI 2024 ARMONIZADO'!R149</f>
        <v>2024003630054</v>
      </c>
      <c r="H96" s="112" t="str">
        <f>'SGTO POAI 2024 ARMONIZADO'!S149</f>
        <v>Contribución al índice de ciencia, tecnología e innovación que promueva la innovación empresarial, el emprendimiento en el departamento del Quindío</v>
      </c>
      <c r="I96" s="224">
        <f>SUM('SGTO POAI 2024 ARMONIZADO'!AU149)</f>
        <v>30000000</v>
      </c>
      <c r="J96" s="224">
        <f>SUM('SGTO POAI 2024 ARMONIZADO'!AV149)</f>
        <v>6800000</v>
      </c>
      <c r="K96" s="167">
        <f t="shared" si="6"/>
        <v>0.22666666666666666</v>
      </c>
      <c r="L96" s="224">
        <f>SUM('SGTO POAI 2024 ARMONIZADO'!AW149)</f>
        <v>3400000</v>
      </c>
      <c r="M96" s="166">
        <f t="shared" si="7"/>
        <v>0.11333333333333333</v>
      </c>
    </row>
    <row r="97" spans="1:13" s="142" customFormat="1" ht="52.5" customHeight="1" x14ac:dyDescent="0.25">
      <c r="A97" s="108">
        <v>311</v>
      </c>
      <c r="B97" s="108">
        <f>'SGTO POAI 2024 ARMONIZADO'!E150</f>
        <v>4</v>
      </c>
      <c r="C97" s="109" t="str">
        <f>'SGTO POAI 2024 ARMONIZADO'!F150</f>
        <v>Gobernabilidad, Fortalecimiento Institucional y Seguridad. “Quindío territorio seguro y confiable”</v>
      </c>
      <c r="D97" s="108">
        <f>'SGTO POAI 2024 ARMONIZADO'!I150</f>
        <v>4599</v>
      </c>
      <c r="E97" s="109" t="str">
        <f>'SGTO POAI 2024 ARMONIZADO'!J150</f>
        <v>Fortalecimiento a la gestión y dirección de la administración pública territorial</v>
      </c>
      <c r="F97" s="108">
        <f t="shared" si="8"/>
        <v>85</v>
      </c>
      <c r="G97" s="108">
        <f>'SGTO POAI 2024 ARMONIZADO'!R150</f>
        <v>2024003630065</v>
      </c>
      <c r="H97" s="112" t="str">
        <f>'SGTO POAI 2024 ARMONIZADO'!S150</f>
        <v>Fortalecimiento al seguimiento de planes y políticas públicas para la gobernanza local sostenible del Quindío</v>
      </c>
      <c r="I97" s="224">
        <f>SUM('SGTO POAI 2024 ARMONIZADO'!AU150)</f>
        <v>20000000</v>
      </c>
      <c r="J97" s="224">
        <f>SUM('SGTO POAI 2024 ARMONIZADO'!AV150)</f>
        <v>15580000</v>
      </c>
      <c r="K97" s="167">
        <f t="shared" si="6"/>
        <v>0.77900000000000003</v>
      </c>
      <c r="L97" s="224">
        <f>SUM('SGTO POAI 2024 ARMONIZADO'!AW150)</f>
        <v>11100000</v>
      </c>
      <c r="M97" s="166">
        <f t="shared" si="7"/>
        <v>0.55500000000000005</v>
      </c>
    </row>
    <row r="98" spans="1:13" s="142" customFormat="1" ht="33.75" customHeight="1" x14ac:dyDescent="0.25">
      <c r="A98" s="16">
        <v>312</v>
      </c>
      <c r="B98" s="16"/>
      <c r="C98" s="16"/>
      <c r="D98" s="187"/>
      <c r="E98" s="12"/>
      <c r="F98" s="5" t="s">
        <v>1131</v>
      </c>
      <c r="G98" s="6"/>
      <c r="H98" s="10"/>
      <c r="I98" s="223">
        <f>SUM(I99:I131)</f>
        <v>6616140695.3199997</v>
      </c>
      <c r="J98" s="223">
        <f>SUM(J99:J131)</f>
        <v>3212211064.9499998</v>
      </c>
      <c r="K98" s="168">
        <f t="shared" si="6"/>
        <v>0.48551129924159453</v>
      </c>
      <c r="L98" s="223">
        <f>SUM(L99:L131)</f>
        <v>2498803659</v>
      </c>
      <c r="M98" s="168">
        <f t="shared" si="7"/>
        <v>0.37768296867803258</v>
      </c>
    </row>
    <row r="99" spans="1:13" s="142" customFormat="1" ht="53.25" customHeight="1" x14ac:dyDescent="0.25">
      <c r="A99" s="108">
        <v>312</v>
      </c>
      <c r="B99" s="108">
        <f>'SGTO POAI 2024 ARMONIZADO'!E151</f>
        <v>2</v>
      </c>
      <c r="C99" s="109" t="str">
        <f>'SGTO POAI 2024 ARMONIZADO'!F151</f>
        <v>Productividad, Competitividad y Medio Ambiente. “Quindío amigo de las empresas y el empleo. Quindío verde, territorio de agua, agricultura y medio ambiente”</v>
      </c>
      <c r="D99" s="108">
        <f>'SGTO POAI 2024 ARMONIZADO'!I151</f>
        <v>1702</v>
      </c>
      <c r="E99" s="17" t="str">
        <f>'SGTO POAI 2024 ARMONIZADO'!J151</f>
        <v>Inclusión productiva de pequeños productores rurales</v>
      </c>
      <c r="F99" s="108">
        <f>F97+1</f>
        <v>86</v>
      </c>
      <c r="G99" s="108">
        <f>'SGTO POAI 2024 ARMONIZADO'!R151</f>
        <v>2020003630079</v>
      </c>
      <c r="H99" s="112" t="str">
        <f>'SGTO POAI 2024 ARMONIZADO'!S151</f>
        <v xml:space="preserve">Fortalecimiento e implementación de procesos de asociatividad y emprendimiento rural en el Departamento del Quindío.  </v>
      </c>
      <c r="I99" s="224">
        <f>SUM('SGTO POAI 2024 ARMONIZADO'!AU151:AU153)</f>
        <v>464616667</v>
      </c>
      <c r="J99" s="224">
        <f>SUM('SGTO POAI 2024 ARMONIZADO'!AV151:AV153)</f>
        <v>464616667</v>
      </c>
      <c r="K99" s="167">
        <f t="shared" si="6"/>
        <v>1</v>
      </c>
      <c r="L99" s="224">
        <f>SUM('SGTO POAI 2024 ARMONIZADO'!AW151:AW153)</f>
        <v>464616667</v>
      </c>
      <c r="M99" s="166">
        <f t="shared" si="7"/>
        <v>1</v>
      </c>
    </row>
    <row r="100" spans="1:13" s="142" customFormat="1" ht="49.5" customHeight="1" x14ac:dyDescent="0.25">
      <c r="A100" s="108">
        <v>312</v>
      </c>
      <c r="B100" s="108">
        <f>'SGTO POAI 2024 ARMONIZADO'!E154</f>
        <v>2</v>
      </c>
      <c r="C100" s="109" t="str">
        <f>'SGTO POAI 2024 ARMONIZADO'!F154</f>
        <v>Productividad, Competitividad y Medio Ambiente. “Quindío amigo de las empresas y el empleo. Quindío verde, territorio de agua, agricultura y medio ambiente”</v>
      </c>
      <c r="D100" s="108">
        <f>'SGTO POAI 2024 ARMONIZADO'!I154</f>
        <v>1702</v>
      </c>
      <c r="E100" s="17" t="str">
        <f>'SGTO POAI 2024 ARMONIZADO'!J152</f>
        <v>Inclusión productiva de pequeños productores rurales</v>
      </c>
      <c r="F100" s="108">
        <f t="shared" ref="F100:F131" si="9">F99+1</f>
        <v>87</v>
      </c>
      <c r="G100" s="108">
        <f>'SGTO POAI 2024 ARMONIZADO'!R154</f>
        <v>2024003630052</v>
      </c>
      <c r="H100" s="112" t="str">
        <f>'SGTO POAI 2024 ARMONIZADO'!S154</f>
        <v>Fortalecimiento de la asociatividad y el emprendimiento rural en el Departamento del Quindío</v>
      </c>
      <c r="I100" s="224">
        <f>SUM('SGTO POAI 2024 ARMONIZADO'!AU154:AU156)</f>
        <v>173383333</v>
      </c>
      <c r="J100" s="224">
        <f>SUM('SGTO POAI 2024 ARMONIZADO'!AV154:AV156)</f>
        <v>43200000</v>
      </c>
      <c r="K100" s="167">
        <f t="shared" si="6"/>
        <v>0.24915889695118504</v>
      </c>
      <c r="L100" s="224">
        <f>SUM('SGTO POAI 2024 ARMONIZADO'!AW154:AW156)</f>
        <v>29600000</v>
      </c>
      <c r="M100" s="166">
        <f t="shared" si="7"/>
        <v>0.1707199849480342</v>
      </c>
    </row>
    <row r="101" spans="1:13" s="142" customFormat="1" ht="53.25" customHeight="1" x14ac:dyDescent="0.25">
      <c r="A101" s="108">
        <v>312</v>
      </c>
      <c r="B101" s="108">
        <f>'SGTO POAI 2024 ARMONIZADO'!E157</f>
        <v>2</v>
      </c>
      <c r="C101" s="109" t="str">
        <f>'SGTO POAI 2024 ARMONIZADO'!F157</f>
        <v>Productividad, Competitividad y Medio Ambiente. “Quindío amigo de las empresas y el empleo. Quindío verde, territorio de agua, agricultura y medio ambiente”</v>
      </c>
      <c r="D101" s="108">
        <f>'SGTO POAI 2024 ARMONIZADO'!I157</f>
        <v>1702</v>
      </c>
      <c r="E101" s="17" t="str">
        <f>'SGTO POAI 2024 ARMONIZADO'!J153</f>
        <v>Inclusión productiva de pequeños productores rurales</v>
      </c>
      <c r="F101" s="108">
        <f t="shared" si="9"/>
        <v>88</v>
      </c>
      <c r="G101" s="108">
        <f>'SGTO POAI 2024 ARMONIZADO'!R157</f>
        <v>2020003630080</v>
      </c>
      <c r="H101" s="112" t="str">
        <f>'SGTO POAI 2024 ARMONIZADO'!S157</f>
        <v xml:space="preserve">Fortalecimiento e implementación  de procesos de mercadeo y comercialización agropecuaria  en el Departamento del Quindío.                </v>
      </c>
      <c r="I101" s="224">
        <f>SUM('SGTO POAI 2024 ARMONIZADO'!AU157:AU158)</f>
        <v>79466666</v>
      </c>
      <c r="J101" s="224">
        <f>SUM('SGTO POAI 2024 ARMONIZADO'!AV157:AV158)</f>
        <v>79466666</v>
      </c>
      <c r="K101" s="167">
        <f t="shared" si="6"/>
        <v>1</v>
      </c>
      <c r="L101" s="224">
        <f>SUM('SGTO POAI 2024 ARMONIZADO'!AW157:AW158)</f>
        <v>79466666</v>
      </c>
      <c r="M101" s="166">
        <f t="shared" si="7"/>
        <v>1</v>
      </c>
    </row>
    <row r="102" spans="1:13" s="142" customFormat="1" ht="47.25" customHeight="1" x14ac:dyDescent="0.25">
      <c r="A102" s="108">
        <v>312</v>
      </c>
      <c r="B102" s="108">
        <f>'SGTO POAI 2024 ARMONIZADO'!E159</f>
        <v>2</v>
      </c>
      <c r="C102" s="109" t="str">
        <f>'SGTO POAI 2024 ARMONIZADO'!F159</f>
        <v>Productividad, Competitividad y Medio Ambiente. “Quindío amigo de las empresas y el empleo. Quindío verde, territorio de agua, agricultura y medio ambiente”</v>
      </c>
      <c r="D102" s="108">
        <f>'SGTO POAI 2024 ARMONIZADO'!I159</f>
        <v>1702</v>
      </c>
      <c r="E102" s="17" t="str">
        <f>'SGTO POAI 2024 ARMONIZADO'!J154</f>
        <v>Inclusión productiva de pequeños productores rurales</v>
      </c>
      <c r="F102" s="108">
        <f t="shared" si="9"/>
        <v>89</v>
      </c>
      <c r="G102" s="108">
        <f>'SGTO POAI 2024 ARMONIZADO'!R159</f>
        <v>2024003630070</v>
      </c>
      <c r="H102" s="112" t="str">
        <f>'SGTO POAI 2024 ARMONIZADO'!S159</f>
        <v>Fortalecimiento de procesos de mercadeo y comercialización agropecuaria en el Departamento del Quindío</v>
      </c>
      <c r="I102" s="224">
        <f>SUM('SGTO POAI 2024 ARMONIZADO'!AU159:AU160)</f>
        <v>108533334</v>
      </c>
      <c r="J102" s="224">
        <f>SUM('SGTO POAI 2024 ARMONIZADO'!AV159:AV160)</f>
        <v>88225020</v>
      </c>
      <c r="K102" s="167">
        <f t="shared" si="6"/>
        <v>0.81288408591594541</v>
      </c>
      <c r="L102" s="224">
        <f>SUM('SGTO POAI 2024 ARMONIZADO'!AW159:AW160)</f>
        <v>50600000</v>
      </c>
      <c r="M102" s="166">
        <f t="shared" si="7"/>
        <v>0.46621621335248026</v>
      </c>
    </row>
    <row r="103" spans="1:13" s="142" customFormat="1" ht="53.25" customHeight="1" x14ac:dyDescent="0.25">
      <c r="A103" s="108">
        <v>312</v>
      </c>
      <c r="B103" s="108">
        <f>'SGTO POAI 2024 ARMONIZADO'!E161</f>
        <v>2</v>
      </c>
      <c r="C103" s="109" t="str">
        <f>'SGTO POAI 2024 ARMONIZADO'!F161</f>
        <v>Productividad, Competitividad y Medio Ambiente. “Quindío amigo de las empresas y el empleo. Quindío verde, territorio de agua, agricultura y medio ambiente”</v>
      </c>
      <c r="D103" s="108">
        <f>'SGTO POAI 2024 ARMONIZADO'!I161</f>
        <v>1702</v>
      </c>
      <c r="E103" s="17" t="str">
        <f>'SGTO POAI 2024 ARMONIZADO'!J158</f>
        <v>Inclusión productiva de pequeños productores rurales</v>
      </c>
      <c r="F103" s="108">
        <f t="shared" si="9"/>
        <v>90</v>
      </c>
      <c r="G103" s="108">
        <f>'SGTO POAI 2024 ARMONIZADO'!R161</f>
        <v>2020003630022</v>
      </c>
      <c r="H103" s="112" t="str">
        <f>'SGTO POAI 2024 ARMONIZADO'!S161</f>
        <v>Implementación de procesos de extensión agropecuaria e inocuidad (estatus sanitario, BPA, BPG) alimentaria; en el Departamento del Quindío</v>
      </c>
      <c r="I103" s="224">
        <f>SUM('SGTO POAI 2024 ARMONIZADO'!AU161:AU162)</f>
        <v>105500000</v>
      </c>
      <c r="J103" s="224">
        <f>SUM('SGTO POAI 2024 ARMONIZADO'!AV161:AV162)</f>
        <v>105500000</v>
      </c>
      <c r="K103" s="167">
        <f t="shared" si="6"/>
        <v>1</v>
      </c>
      <c r="L103" s="224">
        <f>SUM('SGTO POAI 2024 ARMONIZADO'!AW161:AW162)</f>
        <v>105500000</v>
      </c>
      <c r="M103" s="166">
        <f t="shared" si="7"/>
        <v>1</v>
      </c>
    </row>
    <row r="104" spans="1:13" s="142" customFormat="1" ht="54.75" customHeight="1" x14ac:dyDescent="0.25">
      <c r="A104" s="108">
        <v>312</v>
      </c>
      <c r="B104" s="108">
        <f>'SGTO POAI 2024 ARMONIZADO'!E163</f>
        <v>2</v>
      </c>
      <c r="C104" s="109" t="str">
        <f>'SGTO POAI 2024 ARMONIZADO'!F163</f>
        <v xml:space="preserve">Productividad, Competitividad y Medio Ambiente. “Quindío amigo de las empresas y el empleo. Quindío verde, territorio de agua, agricultura y medio ambiente” </v>
      </c>
      <c r="D104" s="108">
        <f>'SGTO POAI 2024 ARMONIZADO'!I163</f>
        <v>1702</v>
      </c>
      <c r="E104" s="17" t="str">
        <f>'SGTO POAI 2024 ARMONIZADO'!J160</f>
        <v>Inclusión productiva de pequeños productores rurales</v>
      </c>
      <c r="F104" s="108">
        <f t="shared" si="9"/>
        <v>91</v>
      </c>
      <c r="G104" s="108">
        <f>'SGTO POAI 2024 ARMONIZADO'!R163</f>
        <v>2024003630109</v>
      </c>
      <c r="H104" s="112" t="str">
        <f>'SGTO POAI 2024 ARMONIZADO'!S163</f>
        <v>Fortalecimiento de procesos de extensión agropecuaria para la agricultura familiar campesina del departamentod del Quindio</v>
      </c>
      <c r="I104" s="224">
        <f>SUM('SGTO POAI 2024 ARMONIZADO'!AU163:AU165)</f>
        <v>45500000</v>
      </c>
      <c r="J104" s="224">
        <f>SUM('SGTO POAI 2024 ARMONIZADO'!AV163:AV165)</f>
        <v>40636666</v>
      </c>
      <c r="K104" s="167">
        <f t="shared" si="6"/>
        <v>0.89311353846153851</v>
      </c>
      <c r="L104" s="224">
        <f>SUM('SGTO POAI 2024 ARMONIZADO'!AW163:AW165)</f>
        <v>26700000</v>
      </c>
      <c r="M104" s="166">
        <f t="shared" si="7"/>
        <v>0.58681318681318684</v>
      </c>
    </row>
    <row r="105" spans="1:13" s="142" customFormat="1" ht="63.75" customHeight="1" x14ac:dyDescent="0.25">
      <c r="A105" s="108">
        <v>312</v>
      </c>
      <c r="B105" s="108">
        <f>'SGTO POAI 2024 ARMONIZADO'!E166</f>
        <v>2</v>
      </c>
      <c r="C105" s="109" t="str">
        <f>'SGTO POAI 2024 ARMONIZADO'!F166</f>
        <v xml:space="preserve">Productividad, Competitividad y Medio Ambiente. “Quindío amigo de las empresas y el empleo. Quindío verde, territorio de agua, agricultura y medio ambiente” </v>
      </c>
      <c r="D105" s="108">
        <f>'SGTO POAI 2024 ARMONIZADO'!I166</f>
        <v>1702</v>
      </c>
      <c r="E105" s="17" t="str">
        <f>'SGTO POAI 2024 ARMONIZADO'!J163</f>
        <v>Inclusión productiva de pequeños productores rurales</v>
      </c>
      <c r="F105" s="108">
        <f t="shared" si="9"/>
        <v>92</v>
      </c>
      <c r="G105" s="108">
        <f>'SGTO POAI 2024 ARMONIZADO'!R166</f>
        <v>2020003630081</v>
      </c>
      <c r="H105" s="112" t="str">
        <f>'SGTO POAI 2024 ARMONIZADO'!S166</f>
        <v xml:space="preserve">Servicio de apoyo en la formulación y estructuración de proyectos de Desarrollo Rural e inclusión productiva  campesina en el Departamento del Quindío  </v>
      </c>
      <c r="I105" s="224">
        <f>SUM('SGTO POAI 2024 ARMONIZADO'!AU166)</f>
        <v>33633332</v>
      </c>
      <c r="J105" s="224">
        <f>SUM('SGTO POAI 2024 ARMONIZADO'!AV166)</f>
        <v>33633332</v>
      </c>
      <c r="K105" s="167">
        <f t="shared" si="6"/>
        <v>1</v>
      </c>
      <c r="L105" s="224">
        <f>SUM('SGTO POAI 2024 ARMONIZADO'!AW166)</f>
        <v>33633332</v>
      </c>
      <c r="M105" s="166">
        <f t="shared" si="7"/>
        <v>1</v>
      </c>
    </row>
    <row r="106" spans="1:13" s="142" customFormat="1" ht="62.25" customHeight="1" x14ac:dyDescent="0.25">
      <c r="A106" s="108">
        <v>312</v>
      </c>
      <c r="B106" s="108">
        <f>'SGTO POAI 2024 ARMONIZADO'!E167</f>
        <v>2</v>
      </c>
      <c r="C106" s="109" t="str">
        <f>'SGTO POAI 2024 ARMONIZADO'!F167</f>
        <v xml:space="preserve">Productividad, Competitividad y Medio Ambiente. “Quindío amigo de las empresas y el empleo. Quindío verde, territorio de agua, agricultura y medio ambiente” </v>
      </c>
      <c r="D106" s="108">
        <f>'SGTO POAI 2024 ARMONIZADO'!I167</f>
        <v>1702</v>
      </c>
      <c r="E106" s="17" t="str">
        <f>'SGTO POAI 2024 ARMONIZADO'!J164</f>
        <v>Inclusión productiva de pequeños productores rurales</v>
      </c>
      <c r="F106" s="108">
        <f t="shared" si="9"/>
        <v>93</v>
      </c>
      <c r="G106" s="108">
        <f>'SGTO POAI 2024 ARMONIZADO'!R167</f>
        <v>2024003630047</v>
      </c>
      <c r="H106" s="112" t="str">
        <f>'SGTO POAI 2024 ARMONIZADO'!S167</f>
        <v>Servicio de apoyo en la formulación y estructuración de proyectos de Desarrollo Rural e inclusión productiva campesina en el Departamento del Quindío</v>
      </c>
      <c r="I106" s="224">
        <f>SUM('SGTO POAI 2024 ARMONIZADO'!AU167)</f>
        <v>33366668</v>
      </c>
      <c r="J106" s="224">
        <f>SUM('SGTO POAI 2024 ARMONIZADO'!AV167)</f>
        <v>25796667</v>
      </c>
      <c r="K106" s="167">
        <f t="shared" si="6"/>
        <v>0.77312685222270316</v>
      </c>
      <c r="L106" s="224">
        <f>SUM('SGTO POAI 2024 ARMONIZADO'!AW167)</f>
        <v>16000000</v>
      </c>
      <c r="M106" s="166">
        <f t="shared" si="7"/>
        <v>0.47952046035882279</v>
      </c>
    </row>
    <row r="107" spans="1:13" s="142" customFormat="1" ht="62.25" customHeight="1" x14ac:dyDescent="0.25">
      <c r="A107" s="108">
        <v>312</v>
      </c>
      <c r="B107" s="108">
        <f>'SGTO POAI 2024 ARMONIZADO'!E168</f>
        <v>2</v>
      </c>
      <c r="C107" s="109" t="str">
        <f>'SGTO POAI 2024 ARMONIZADO'!F168</f>
        <v xml:space="preserve">Productividad, Competitividad y Medio Ambiente. “Quindío amigo de las empresas y el empleo. Quindío verde, territorio de agua, agricultura y medio ambiente” </v>
      </c>
      <c r="D107" s="108">
        <f>'SGTO POAI 2024 ARMONIZADO'!I168</f>
        <v>1703</v>
      </c>
      <c r="E107" s="109" t="str">
        <f>'SGTO POAI 2024 ARMONIZADO'!J168</f>
        <v>Servicios financieros y gestión del riesgo para las actividades agropecuarias y rurales</v>
      </c>
      <c r="F107" s="108">
        <f t="shared" si="9"/>
        <v>94</v>
      </c>
      <c r="G107" s="108">
        <f>'SGTO POAI 2024 ARMONIZADO'!R168</f>
        <v>2020003630082</v>
      </c>
      <c r="H107" s="112" t="str">
        <f>'SGTO POAI 2024 ARMONIZADO'!S168</f>
        <v xml:space="preserve">Apoyo a la Implementación de procesos para la prevención y mitigación de riesgos naturales del sector agropecuario en el Departamento del Quindío.  </v>
      </c>
      <c r="I107" s="224">
        <f>SUM('SGTO POAI 2024 ARMONIZADO'!AU168)</f>
        <v>28100000</v>
      </c>
      <c r="J107" s="224">
        <f>SUM('SGTO POAI 2024 ARMONIZADO'!AV168)</f>
        <v>28100000</v>
      </c>
      <c r="K107" s="167">
        <f t="shared" si="6"/>
        <v>1</v>
      </c>
      <c r="L107" s="224">
        <f>SUM('SGTO POAI 2024 ARMONIZADO'!AW168)</f>
        <v>28100000</v>
      </c>
      <c r="M107" s="166">
        <f t="shared" si="7"/>
        <v>1</v>
      </c>
    </row>
    <row r="108" spans="1:13" s="142" customFormat="1" ht="54" customHeight="1" x14ac:dyDescent="0.25">
      <c r="A108" s="108">
        <v>312</v>
      </c>
      <c r="B108" s="108">
        <f>'SGTO POAI 2024 ARMONIZADO'!E169</f>
        <v>2</v>
      </c>
      <c r="C108" s="109" t="str">
        <f>'SGTO POAI 2024 ARMONIZADO'!F169</f>
        <v xml:space="preserve">Productividad, Competitividad y Medio Ambiente. “Quindío amigo de las empresas y el empleo. Quindío verde, territorio de agua, agricultura y medio ambiente” </v>
      </c>
      <c r="D108" s="108">
        <f>'SGTO POAI 2024 ARMONIZADO'!I169</f>
        <v>1703</v>
      </c>
      <c r="E108" s="109" t="str">
        <f>'SGTO POAI 2024 ARMONIZADO'!J169</f>
        <v xml:space="preserve"> Servicios financieros y gestión del riesgo para las actividades agropecuarias y rurales</v>
      </c>
      <c r="F108" s="108">
        <f t="shared" si="9"/>
        <v>95</v>
      </c>
      <c r="G108" s="108">
        <f>'SGTO POAI 2024 ARMONIZADO'!R169</f>
        <v>2024003630096</v>
      </c>
      <c r="H108" s="112" t="str">
        <f>'SGTO POAI 2024 ARMONIZADO'!S169</f>
        <v>Fortalecimiento de procesos para la prevención y mitigación de riesgos naturales del sector agropecuario en el Departamento del Quindío.</v>
      </c>
      <c r="I108" s="224">
        <f>SUM('SGTO POAI 2024 ARMONIZADO'!AU169)</f>
        <v>237612654</v>
      </c>
      <c r="J108" s="224">
        <f>SUM('SGTO POAI 2024 ARMONIZADO'!AV169)</f>
        <v>30000000</v>
      </c>
      <c r="K108" s="167">
        <f t="shared" si="6"/>
        <v>0.12625590217935109</v>
      </c>
      <c r="L108" s="224">
        <f>SUM('SGTO POAI 2024 ARMONIZADO'!AW169)</f>
        <v>13700000</v>
      </c>
      <c r="M108" s="166">
        <f t="shared" si="7"/>
        <v>5.7656861995237008E-2</v>
      </c>
    </row>
    <row r="109" spans="1:13" s="142" customFormat="1" ht="49.5" customHeight="1" x14ac:dyDescent="0.25">
      <c r="A109" s="108">
        <v>312</v>
      </c>
      <c r="B109" s="108">
        <v>2</v>
      </c>
      <c r="C109" s="109" t="str">
        <f>'SGTO POAI 2024 ARMONIZADO'!F170</f>
        <v xml:space="preserve">Productividad, Competitividad y Medio Ambiente. “Quindío amigo de las empresas y el empleo. Quindío verde, territorio de agua, agricultura y medio ambiente” </v>
      </c>
      <c r="D109" s="108">
        <f>'SGTO POAI 2024 ARMONIZADO'!I170</f>
        <v>1706</v>
      </c>
      <c r="E109" s="17" t="str">
        <f>'SGTO POAI 2024 ARMONIZADO'!J170</f>
        <v xml:space="preserve"> Aprovechamiento de mercados externos</v>
      </c>
      <c r="F109" s="108">
        <f t="shared" si="9"/>
        <v>96</v>
      </c>
      <c r="G109" s="108">
        <f>'SGTO POAI 2024 ARMONIZADO'!R170</f>
        <v>2024003630059</v>
      </c>
      <c r="H109" s="112" t="str">
        <f>'SGTO POAI 2024 ARMONIZADO'!S170</f>
        <v>Apoyo institucional a eventos y ferias para la competitividad productiva y empresarial del sector rural en el Departamento del Quindío</v>
      </c>
      <c r="I109" s="224">
        <f>SUM('SGTO POAI 2024 ARMONIZADO'!AU170)</f>
        <v>50000000</v>
      </c>
      <c r="J109" s="224">
        <f>SUM('SGTO POAI 2024 ARMONIZADO'!AV170)</f>
        <v>30000000</v>
      </c>
      <c r="K109" s="167">
        <f t="shared" si="6"/>
        <v>0.6</v>
      </c>
      <c r="L109" s="224">
        <f>SUM('SGTO POAI 2024 ARMONIZADO'!AW170)</f>
        <v>12907000</v>
      </c>
      <c r="M109" s="166">
        <f t="shared" si="7"/>
        <v>0.25813999999999998</v>
      </c>
    </row>
    <row r="110" spans="1:13" s="142" customFormat="1" ht="41.25" customHeight="1" x14ac:dyDescent="0.25">
      <c r="A110" s="108">
        <v>312</v>
      </c>
      <c r="B110" s="108">
        <f>'SGTO POAI 2024 ARMONIZADO'!E171</f>
        <v>2</v>
      </c>
      <c r="C110" s="109" t="str">
        <f>'SGTO POAI 2024 ARMONIZADO'!F171</f>
        <v xml:space="preserve">Productividad, Competitividad y Medio Ambiente. “Quindío amigo de las empresas y el empleo. Quindío verde, territorio de agua, agricultura y medio ambiente” </v>
      </c>
      <c r="D110" s="108">
        <f>'SGTO POAI 2024 ARMONIZADO'!I171</f>
        <v>1707</v>
      </c>
      <c r="E110" s="17" t="str">
        <f>'SGTO POAI 2024 ARMONIZADO'!J171</f>
        <v xml:space="preserve">Sanidad agropecuaria e inocuidad agroalimentaria </v>
      </c>
      <c r="F110" s="108">
        <f t="shared" si="9"/>
        <v>97</v>
      </c>
      <c r="G110" s="108">
        <f>'SGTO POAI 2024 ARMONIZADO'!R171</f>
        <v>2020003630084</v>
      </c>
      <c r="H110" s="112" t="str">
        <f>'SGTO POAI 2024 ARMONIZADO'!S171</f>
        <v xml:space="preserve">Implementación de procesos de  sanidad e inocuidad alimentaria en el departamento del Quindío. </v>
      </c>
      <c r="I110" s="224">
        <f>SUM('SGTO POAI 2024 ARMONIZADO'!AU171)</f>
        <v>142226666</v>
      </c>
      <c r="J110" s="224">
        <f>SUM('SGTO POAI 2024 ARMONIZADO'!AV171)</f>
        <v>142226666</v>
      </c>
      <c r="K110" s="167">
        <f t="shared" si="6"/>
        <v>1</v>
      </c>
      <c r="L110" s="224">
        <f>SUM('SGTO POAI 2024 ARMONIZADO'!AW171)</f>
        <v>142226666</v>
      </c>
      <c r="M110" s="166">
        <f t="shared" si="7"/>
        <v>1</v>
      </c>
    </row>
    <row r="111" spans="1:13" s="142" customFormat="1" ht="41.25" customHeight="1" x14ac:dyDescent="0.25">
      <c r="A111" s="108">
        <v>312</v>
      </c>
      <c r="B111" s="108">
        <f>'SGTO POAI 2024 ARMONIZADO'!E172</f>
        <v>2</v>
      </c>
      <c r="C111" s="109" t="str">
        <f>'SGTO POAI 2024 ARMONIZADO'!F172</f>
        <v xml:space="preserve">Productividad, Competitividad y Medio Ambiente. “Quindío amigo de las empresas y el empleo. Quindío verde, territorio de agua, agricultura y medio ambiente” </v>
      </c>
      <c r="D111" s="108">
        <f>'SGTO POAI 2024 ARMONIZADO'!I172</f>
        <v>1707</v>
      </c>
      <c r="E111" s="17" t="str">
        <f>'SGTO POAI 2024 ARMONIZADO'!J172</f>
        <v>Sanidad agropecuaria e inocuidad agroalimentaria</v>
      </c>
      <c r="F111" s="108">
        <f t="shared" si="9"/>
        <v>98</v>
      </c>
      <c r="G111" s="108">
        <f>'SGTO POAI 2024 ARMONIZADO'!R172</f>
        <v>2024003630093</v>
      </c>
      <c r="H111" s="112" t="str">
        <f>'SGTO POAI 2024 ARMONIZADO'!S172</f>
        <v>Apoyo a procesos de sanidad e inocuidad alimentaria en el departamento del Quindío</v>
      </c>
      <c r="I111" s="224">
        <f>SUM('SGTO POAI 2024 ARMONIZADO'!AU172)</f>
        <v>773334</v>
      </c>
      <c r="J111" s="224">
        <f>SUM('SGTO POAI 2024 ARMONIZADO'!AV172)</f>
        <v>0</v>
      </c>
      <c r="K111" s="167">
        <f t="shared" si="6"/>
        <v>0</v>
      </c>
      <c r="L111" s="224">
        <f>SUM('SGTO POAI 2024 ARMONIZADO'!AW172)</f>
        <v>0</v>
      </c>
      <c r="M111" s="166">
        <f t="shared" si="7"/>
        <v>0</v>
      </c>
    </row>
    <row r="112" spans="1:13" s="142" customFormat="1" ht="58.5" customHeight="1" x14ac:dyDescent="0.25">
      <c r="A112" s="108">
        <v>312</v>
      </c>
      <c r="B112" s="108">
        <f>'SGTO POAI 2024 ARMONIZADO'!E173</f>
        <v>2</v>
      </c>
      <c r="C112" s="109" t="str">
        <f>'SGTO POAI 2024 ARMONIZADO'!F173</f>
        <v xml:space="preserve">Productividad, Competitividad y Medio Ambiente. “Quindío amigo de las empresas y el empleo. Quindío verde, territorio de agua, agricultura y medio ambiente” </v>
      </c>
      <c r="D112" s="108">
        <f>'SGTO POAI 2024 ARMONIZADO'!I173</f>
        <v>1708</v>
      </c>
      <c r="E112" s="109" t="str">
        <f>'SGTO POAI 2024 ARMONIZADO'!J173</f>
        <v>Ciencia, tecnología e innovación agropecuaria</v>
      </c>
      <c r="F112" s="108">
        <f t="shared" si="9"/>
        <v>99</v>
      </c>
      <c r="G112" s="108">
        <f>'SGTO POAI 2024 ARMONIZADO'!R173</f>
        <v>2020003630026</v>
      </c>
      <c r="H112" s="112" t="str">
        <f>'SGTO POAI 2024 ARMONIZADO'!S173</f>
        <v xml:space="preserve"> Implementación de procesos de innovación, ciencia y tecnología agropecuario en el Departamento del Quindío  </v>
      </c>
      <c r="I112" s="224">
        <f>SUM('SGTO POAI 2024 ARMONIZADO'!AU173:AU174)</f>
        <v>93500000</v>
      </c>
      <c r="J112" s="224">
        <f>SUM('SGTO POAI 2024 ARMONIZADO'!AV173:AV174)</f>
        <v>93500000</v>
      </c>
      <c r="K112" s="167">
        <f t="shared" si="6"/>
        <v>1</v>
      </c>
      <c r="L112" s="224">
        <f>SUM('SGTO POAI 2024 ARMONIZADO'!AW173:AW174)</f>
        <v>93500000</v>
      </c>
      <c r="M112" s="166">
        <f t="shared" si="7"/>
        <v>1</v>
      </c>
    </row>
    <row r="113" spans="1:13" s="142" customFormat="1" ht="45" customHeight="1" x14ac:dyDescent="0.25">
      <c r="A113" s="108">
        <v>312</v>
      </c>
      <c r="B113" s="108">
        <f>'SGTO POAI 2024 ARMONIZADO'!E175</f>
        <v>2</v>
      </c>
      <c r="C113" s="109" t="str">
        <f>'SGTO POAI 2024 ARMONIZADO'!F175</f>
        <v xml:space="preserve">Productividad, Competitividad y Medio Ambiente. “Quindío amigo de las empresas y el empleo. Quindío verde, territorio de agua, agricultura y medio ambiente” </v>
      </c>
      <c r="D113" s="108">
        <f>'SGTO POAI 2024 ARMONIZADO'!I175</f>
        <v>1708</v>
      </c>
      <c r="E113" s="109" t="str">
        <f>'SGTO POAI 2024 ARMONIZADO'!J175</f>
        <v>Ciencia, tecnología e innovación agropecuaria</v>
      </c>
      <c r="F113" s="108">
        <f t="shared" si="9"/>
        <v>100</v>
      </c>
      <c r="G113" s="108">
        <f>'SGTO POAI 2024 ARMONIZADO'!R175</f>
        <v>2024003630113</v>
      </c>
      <c r="H113" s="112" t="str">
        <f>'SGTO POAI 2024 ARMONIZADO'!S175</f>
        <v>Fortalecimiento de procesos de innovación, ciencia y tecnología agropecuaria del Departamento del Quindío</v>
      </c>
      <c r="I113" s="224">
        <f>SUM('SGTO POAI 2024 ARMONIZADO'!AU175:AU177)</f>
        <v>351500000</v>
      </c>
      <c r="J113" s="224">
        <f>SUM('SGTO POAI 2024 ARMONIZADO'!AV175:AV177)</f>
        <v>193213331</v>
      </c>
      <c r="K113" s="167">
        <f t="shared" si="6"/>
        <v>0.54968230725462308</v>
      </c>
      <c r="L113" s="224">
        <f>SUM('SGTO POAI 2024 ARMONIZADO'!AW175:AW177)</f>
        <v>126100000</v>
      </c>
      <c r="M113" s="166">
        <f t="shared" si="7"/>
        <v>0.35874822190611666</v>
      </c>
    </row>
    <row r="114" spans="1:13" s="142" customFormat="1" ht="45" customHeight="1" x14ac:dyDescent="0.25">
      <c r="A114" s="108">
        <v>312</v>
      </c>
      <c r="B114" s="108">
        <f>'SGTO POAI 2024 ARMONIZADO'!E178</f>
        <v>2</v>
      </c>
      <c r="C114" s="109" t="str">
        <f>'SGTO POAI 2024 ARMONIZADO'!F178</f>
        <v xml:space="preserve">Productividad, Competitividad y Medio Ambiente. “Quindío amigo de las empresas y el empleo. Quindío verde, territorio de agua, agricultura y medio ambiente” </v>
      </c>
      <c r="D114" s="108">
        <f>'SGTO POAI 2024 ARMONIZADO'!I178</f>
        <v>1709</v>
      </c>
      <c r="E114" s="17" t="str">
        <f>'SGTO POAI 2024 ARMONIZADO'!J178</f>
        <v>Infraestructura productiva y comercialización</v>
      </c>
      <c r="F114" s="108">
        <f t="shared" si="9"/>
        <v>101</v>
      </c>
      <c r="G114" s="108">
        <f>'SGTO POAI 2024 ARMONIZADO'!R178</f>
        <v>2024003630060</v>
      </c>
      <c r="H114" s="112" t="str">
        <f>'SGTO POAI 2024 ARMONIZADO'!S178</f>
        <v xml:space="preserve">Implementación de procesos de transformación agroindustrial integral de productos agropecuarios en el Departamento del Quindío </v>
      </c>
      <c r="I114" s="224">
        <f>SUM('SGTO POAI 2024 ARMONIZADO'!AU178)</f>
        <v>60000000</v>
      </c>
      <c r="J114" s="224">
        <f>SUM('SGTO POAI 2024 ARMONIZADO'!AV178)</f>
        <v>47439391</v>
      </c>
      <c r="K114" s="167">
        <f t="shared" si="6"/>
        <v>0.7906565166666667</v>
      </c>
      <c r="L114" s="224">
        <f>SUM('SGTO POAI 2024 ARMONIZADO'!AW178)</f>
        <v>0</v>
      </c>
      <c r="M114" s="166">
        <f t="shared" si="7"/>
        <v>0</v>
      </c>
    </row>
    <row r="115" spans="1:13" s="142" customFormat="1" ht="53.25" customHeight="1" x14ac:dyDescent="0.25">
      <c r="A115" s="108">
        <v>312</v>
      </c>
      <c r="B115" s="108">
        <f>'SGTO POAI 2024 ARMONIZADO'!E179</f>
        <v>2</v>
      </c>
      <c r="C115" s="109" t="str">
        <f>'SGTO POAI 2024 ARMONIZADO'!F179</f>
        <v xml:space="preserve">Productividad, Competitividad y Medio Ambiente. “Quindío amigo de las empresas y el empleo. Quindío verde, territorio de agua, agricultura y medio ambiente” </v>
      </c>
      <c r="D115" s="108">
        <f>'SGTO POAI 2024 ARMONIZADO'!I179</f>
        <v>3502</v>
      </c>
      <c r="E115" s="17" t="str">
        <f>'SGTO POAI 2024 ARMONIZADO'!J179</f>
        <v xml:space="preserve">Productividad y competitividad de las empresas colombianas </v>
      </c>
      <c r="F115" s="108">
        <f t="shared" si="9"/>
        <v>102</v>
      </c>
      <c r="G115" s="108">
        <f>'SGTO POAI 2024 ARMONIZADO'!R179</f>
        <v>2020003630085</v>
      </c>
      <c r="H115" s="112" t="str">
        <f>'SGTO POAI 2024 ARMONIZADO'!S179</f>
        <v xml:space="preserve">Fortalecimiento  de nuevos emprendimientos e iniciativas clúster de las cadenas promisorias agropecuarias en el Departamento del Quindío.                     </v>
      </c>
      <c r="I115" s="224">
        <f>SUM('SGTO POAI 2024 ARMONIZADO'!AU179:AU180)</f>
        <v>53883332</v>
      </c>
      <c r="J115" s="224">
        <f>SUM('SGTO POAI 2024 ARMONIZADO'!AV179:AV180)</f>
        <v>53883332</v>
      </c>
      <c r="K115" s="167">
        <f t="shared" si="6"/>
        <v>1</v>
      </c>
      <c r="L115" s="224">
        <f>SUM('SGTO POAI 2024 ARMONIZADO'!AW179:AW180)</f>
        <v>53883332</v>
      </c>
      <c r="M115" s="166">
        <f t="shared" si="7"/>
        <v>1</v>
      </c>
    </row>
    <row r="116" spans="1:13" s="142" customFormat="1" ht="53.25" customHeight="1" x14ac:dyDescent="0.25">
      <c r="A116" s="108">
        <v>312</v>
      </c>
      <c r="B116" s="108">
        <f>'SGTO POAI 2024 ARMONIZADO'!E181</f>
        <v>2</v>
      </c>
      <c r="C116" s="109" t="str">
        <f>'SGTO POAI 2024 ARMONIZADO'!F181</f>
        <v xml:space="preserve">Productividad, Competitividad y Medio Ambiente. “Quindío amigo de las empresas y el empleo. Quindío verde, territorio de agua, agricultura y medio ambiente” </v>
      </c>
      <c r="D116" s="108">
        <f>'SGTO POAI 2024 ARMONIZADO'!I181</f>
        <v>3502</v>
      </c>
      <c r="E116" s="109" t="str">
        <f>'SGTO POAI 2024 ARMONIZADO'!J181</f>
        <v xml:space="preserve">Productividad y competitividad de las empresas colombianas </v>
      </c>
      <c r="F116" s="108">
        <f t="shared" si="9"/>
        <v>103</v>
      </c>
      <c r="G116" s="108">
        <f>'SGTO POAI 2024 ARMONIZADO'!R181</f>
        <v>2024003630073</v>
      </c>
      <c r="H116" s="112" t="str">
        <f>'SGTO POAI 2024 ARMONIZADO'!S181</f>
        <v>Apoyo a iniciativas clúster y a nuevos emprendimientos de las cadenas promisorias agropecuarias en el Departamento del Quindío</v>
      </c>
      <c r="I116" s="224">
        <f>SUM('SGTO POAI 2024 ARMONIZADO'!AU181:AU182)</f>
        <v>90116668</v>
      </c>
      <c r="J116" s="224">
        <f>SUM('SGTO POAI 2024 ARMONIZADO'!AV181:AV182)</f>
        <v>87396666</v>
      </c>
      <c r="K116" s="167">
        <f t="shared" si="6"/>
        <v>0.96981688226644158</v>
      </c>
      <c r="L116" s="224">
        <f>SUM('SGTO POAI 2024 ARMONIZADO'!AW181:AW182)</f>
        <v>47000000</v>
      </c>
      <c r="M116" s="166">
        <f t="shared" si="7"/>
        <v>0.52154613617094681</v>
      </c>
    </row>
    <row r="117" spans="1:13" s="142" customFormat="1" ht="58.5" customHeight="1" x14ac:dyDescent="0.25">
      <c r="A117" s="108">
        <v>312</v>
      </c>
      <c r="B117" s="108">
        <f>'SGTO POAI 2024 ARMONIZADO'!E183</f>
        <v>2</v>
      </c>
      <c r="C117" s="109" t="str">
        <f>'SGTO POAI 2024 ARMONIZADO'!F183</f>
        <v xml:space="preserve">Productividad, Competitividad y Medio Ambiente. “Quindío amigo de las empresas y el empleo. Quindío verde, territorio de agua, agricultura y medio ambiente” </v>
      </c>
      <c r="D117" s="108" t="str">
        <f>'SGTO POAI 2024 ARMONIZADO'!I183</f>
        <v>3201</v>
      </c>
      <c r="E117" s="109" t="str">
        <f>'SGTO POAI 2024 ARMONIZADO'!J183</f>
        <v>Fortalecimiento del desempeño ambiental de los sectores productivos</v>
      </c>
      <c r="F117" s="108">
        <f t="shared" si="9"/>
        <v>104</v>
      </c>
      <c r="G117" s="108">
        <f>'SGTO POAI 2024 ARMONIZADO'!R183</f>
        <v>2020003630027</v>
      </c>
      <c r="H117" s="112" t="str">
        <f>'SGTO POAI 2024 ARMONIZADO'!S183</f>
        <v xml:space="preserve">Fortalecimiento  de los procesos de Gestión Ambiental Urbana y Rural para la protección del Paisaje y la Biodiversidad en el  departamento del   Quindío  </v>
      </c>
      <c r="I117" s="224">
        <f>SUM('SGTO POAI 2024 ARMONIZADO'!AU183:AU184)</f>
        <v>14016666</v>
      </c>
      <c r="J117" s="224">
        <f>SUM('SGTO POAI 2024 ARMONIZADO'!AV183:AV184)</f>
        <v>14016666</v>
      </c>
      <c r="K117" s="167">
        <f t="shared" si="6"/>
        <v>1</v>
      </c>
      <c r="L117" s="224">
        <f>SUM('SGTO POAI 2024 ARMONIZADO'!AW183:AW184)</f>
        <v>14016666</v>
      </c>
      <c r="M117" s="166">
        <f t="shared" si="7"/>
        <v>1</v>
      </c>
    </row>
    <row r="118" spans="1:13" s="142" customFormat="1" ht="56.25" customHeight="1" x14ac:dyDescent="0.25">
      <c r="A118" s="108">
        <v>312</v>
      </c>
      <c r="B118" s="108">
        <f>'SGTO POAI 2024 ARMONIZADO'!E185</f>
        <v>2</v>
      </c>
      <c r="C118" s="109" t="str">
        <f>'SGTO POAI 2024 ARMONIZADO'!F185</f>
        <v xml:space="preserve">Productividad, Competitividad y Medio Ambiente. “Quindío amigo de las empresas y el empleo. Quindío verde, territorio de agua, agricultura y medio ambiente” </v>
      </c>
      <c r="D118" s="108">
        <f>'SGTO POAI 2024 ARMONIZADO'!I185</f>
        <v>3201</v>
      </c>
      <c r="E118" s="109" t="str">
        <f>'SGTO POAI 2024 ARMONIZADO'!J185</f>
        <v>Fortalecimiento del desempeño ambiental de los sectores productivos</v>
      </c>
      <c r="F118" s="108">
        <f t="shared" si="9"/>
        <v>105</v>
      </c>
      <c r="G118" s="108">
        <f>'SGTO POAI 2024 ARMONIZADO'!R185</f>
        <v>2024003630094</v>
      </c>
      <c r="H118" s="112" t="str">
        <f>'SGTO POAI 2024 ARMONIZADO'!S185</f>
        <v>Apoyo a los procesos de Gestión Ambiental Urbana y Rural para la protección del Paisaje y la Biodiversidad Quindío</v>
      </c>
      <c r="I118" s="224">
        <f>SUM('SGTO POAI 2024 ARMONIZADO'!AU185:AU186)</f>
        <v>75000000</v>
      </c>
      <c r="J118" s="224">
        <f>SUM('SGTO POAI 2024 ARMONIZADO'!AV185:AV186)</f>
        <v>11100000</v>
      </c>
      <c r="K118" s="167">
        <f t="shared" si="6"/>
        <v>0.14799999999999999</v>
      </c>
      <c r="L118" s="224">
        <f>SUM('SGTO POAI 2024 ARMONIZADO'!AW185:AW186)</f>
        <v>7400000</v>
      </c>
      <c r="M118" s="166">
        <f t="shared" si="7"/>
        <v>9.8666666666666666E-2</v>
      </c>
    </row>
    <row r="119" spans="1:13" s="142" customFormat="1" ht="52.5" customHeight="1" x14ac:dyDescent="0.25">
      <c r="A119" s="108">
        <v>312</v>
      </c>
      <c r="B119" s="108">
        <f>'SGTO POAI 2024 ARMONIZADO'!E189</f>
        <v>2</v>
      </c>
      <c r="C119" s="109" t="str">
        <f>'SGTO POAI 2024 ARMONIZADO'!F189</f>
        <v xml:space="preserve">Productividad, Competitividad y Medio Ambiente. “Quindío amigo de las empresas y el empleo. Quindío verde, territorio de agua, agricultura y medio ambiente” </v>
      </c>
      <c r="D119" s="108" t="str">
        <f>'SGTO POAI 2024 ARMONIZADO'!I189</f>
        <v>3202</v>
      </c>
      <c r="E119" s="17" t="str">
        <f>'SGTO POAI 2024 ARMONIZADO'!J189</f>
        <v>Conservación de la biodiversidad y sus servicios ecosistémicos</v>
      </c>
      <c r="F119" s="108">
        <f t="shared" si="9"/>
        <v>106</v>
      </c>
      <c r="G119" s="108">
        <f>'SGTO POAI 2024 ARMONIZADO'!R189</f>
        <v>2024003630091</v>
      </c>
      <c r="H119" s="112" t="str">
        <f>'SGTO POAI 2024 ARMONIZADO'!S189</f>
        <v>Apoyo a las acciones para la conservación de las áreas de importancia estratégica hídrica en el Departamento del Quindío</v>
      </c>
      <c r="I119" s="224">
        <f>SUM('SGTO POAI 2024 ARMONIZADO'!AU189:AU193)</f>
        <v>2851911374.3699999</v>
      </c>
      <c r="J119" s="224">
        <f>SUM('SGTO POAI 2024 ARMONIZADO'!AV189:AV193)</f>
        <v>254823332</v>
      </c>
      <c r="K119" s="167">
        <f t="shared" si="6"/>
        <v>8.9351770987726301E-2</v>
      </c>
      <c r="L119" s="224">
        <f>SUM('SGTO POAI 2024 ARMONIZADO'!AW189:AW193)</f>
        <v>117900000</v>
      </c>
      <c r="M119" s="166">
        <f t="shared" si="7"/>
        <v>4.1340695597893412E-2</v>
      </c>
    </row>
    <row r="120" spans="1:13" s="142" customFormat="1" ht="56.25" customHeight="1" x14ac:dyDescent="0.25">
      <c r="A120" s="108">
        <f>'SGTO POAI 2024 ARMONIZADO'!A187</f>
        <v>312</v>
      </c>
      <c r="B120" s="108">
        <f>'SGTO POAI 2024 ARMONIZADO'!E187</f>
        <v>2</v>
      </c>
      <c r="C120" s="109" t="str">
        <f>'SGTO POAI 2024 ARMONIZADO'!F187</f>
        <v xml:space="preserve">Productividad, Competitividad y Medio Ambiente. “Quindío amigo de las empresas y el empleo. Quindío verde, territorio de agua, agricultura y medio ambiente” </v>
      </c>
      <c r="D120" s="108">
        <f>'SGTO POAI 2024 ARMONIZADO'!I187</f>
        <v>3202</v>
      </c>
      <c r="E120" s="17" t="str">
        <f>'SGTO POAI 2024 ARMONIZADO'!J187</f>
        <v>Conservación de la biodiversidad y sus servicios ecosistémicos</v>
      </c>
      <c r="F120" s="108">
        <f t="shared" si="9"/>
        <v>107</v>
      </c>
      <c r="G120" s="108">
        <f>'SGTO POAI 2024 ARMONIZADO'!R187</f>
        <v>2020003630086</v>
      </c>
      <c r="H120" s="112" t="str">
        <f>'SGTO POAI 2024 ARMONIZADO'!S187</f>
        <v xml:space="preserve">Generación y desarrollo de acciones para la conservación de las áreas de importancia estratégica hídrica en el Departamento del Quindío </v>
      </c>
      <c r="I120" s="224">
        <f>'SGTO POAI 2024 ARMONIZADO'!AU187+'SGTO POAI 2024 ARMONIZADO'!AU188</f>
        <v>396016665.99999964</v>
      </c>
      <c r="J120" s="224">
        <f>'SGTO POAI 2024 ARMONIZADO'!AV187+'SGTO POAI 2024 ARMONIZADO'!AV188</f>
        <v>396016666</v>
      </c>
      <c r="K120" s="167">
        <f t="shared" si="6"/>
        <v>1.0000000000000009</v>
      </c>
      <c r="L120" s="224">
        <f>'SGTO POAI 2024 ARMONIZADO'!AW187+'SGTO POAI 2024 ARMONIZADO'!AW188</f>
        <v>271486666</v>
      </c>
      <c r="M120" s="166">
        <f t="shared" si="7"/>
        <v>0.68554353720052841</v>
      </c>
    </row>
    <row r="121" spans="1:13" s="142" customFormat="1" ht="56.25" customHeight="1" x14ac:dyDescent="0.25">
      <c r="A121" s="108">
        <v>312</v>
      </c>
      <c r="B121" s="108">
        <f>'SGTO POAI 2024 ARMONIZADO'!E194</f>
        <v>2</v>
      </c>
      <c r="C121" s="109" t="str">
        <f>'SGTO POAI 2024 ARMONIZADO'!F194</f>
        <v xml:space="preserve">Productividad, Competitividad y Medio Ambiente. “Quindío amigo de las empresas y el empleo. Quindío verde, territorio de agua, agricultura y medio ambiente” </v>
      </c>
      <c r="D121" s="108">
        <f>'SGTO POAI 2024 ARMONIZADO'!I194</f>
        <v>3202</v>
      </c>
      <c r="E121" s="17" t="str">
        <f>'SGTO POAI 2024 ARMONIZADO'!J191</f>
        <v>Conservación de la biodiversidad y sus servicios ecosistémicos</v>
      </c>
      <c r="F121" s="108">
        <f t="shared" si="9"/>
        <v>108</v>
      </c>
      <c r="G121" s="108">
        <f>'SGTO POAI 2024 ARMONIZADO'!R194</f>
        <v>2020003630028</v>
      </c>
      <c r="H121" s="112" t="str">
        <f>'SGTO POAI 2024 ARMONIZADO'!S194</f>
        <v xml:space="preserve">Apoyo a la generación de entornos  amigables para los animales  domésticos y silvestres en el departamento del Quindío </v>
      </c>
      <c r="I121" s="224">
        <f>SUM('SGTO POAI 2024 ARMONIZADO'!AU194)</f>
        <v>56566666</v>
      </c>
      <c r="J121" s="224">
        <f>SUM('SGTO POAI 2024 ARMONIZADO'!AV194)</f>
        <v>56566666</v>
      </c>
      <c r="K121" s="167">
        <f t="shared" si="6"/>
        <v>1</v>
      </c>
      <c r="L121" s="224">
        <f>SUM('SGTO POAI 2024 ARMONIZADO'!AW194)</f>
        <v>56566666</v>
      </c>
      <c r="M121" s="166">
        <f t="shared" si="7"/>
        <v>1</v>
      </c>
    </row>
    <row r="122" spans="1:13" s="142" customFormat="1" ht="64.5" customHeight="1" x14ac:dyDescent="0.25">
      <c r="A122" s="108">
        <v>312</v>
      </c>
      <c r="B122" s="108">
        <f>'SGTO POAI 2024 ARMONIZADO'!E195</f>
        <v>2</v>
      </c>
      <c r="C122" s="109" t="str">
        <f>'SGTO POAI 2024 ARMONIZADO'!F195</f>
        <v xml:space="preserve">Productividad, Competitividad y Medio Ambiente. “Quindío amigo de las empresas y el empleo. Quindío verde, territorio de agua, agricultura y medio ambiente” </v>
      </c>
      <c r="D122" s="108">
        <f>'SGTO POAI 2024 ARMONIZADO'!I195</f>
        <v>3202</v>
      </c>
      <c r="E122" s="17" t="str">
        <f>'SGTO POAI 2024 ARMONIZADO'!J192</f>
        <v>Conservación de la biodiversidad y sus servicios ecosistémicos</v>
      </c>
      <c r="F122" s="108">
        <f t="shared" si="9"/>
        <v>109</v>
      </c>
      <c r="G122" s="108">
        <f>'SGTO POAI 2024 ARMONIZADO'!R195</f>
        <v>2020003630087</v>
      </c>
      <c r="H122" s="112" t="str">
        <f>'SGTO POAI 2024 ARMONIZADO'!S195</f>
        <v xml:space="preserve">Realización de campañas de sensibilización y apropiación del patrimonio ambiental  del paisaje, la biodiversidad y sus servicios ecosistémicos en el Departamento del Quindío </v>
      </c>
      <c r="I122" s="224">
        <f>SUM('SGTO POAI 2024 ARMONIZADO'!AU195)</f>
        <v>84499999</v>
      </c>
      <c r="J122" s="224">
        <f>SUM('SGTO POAI 2024 ARMONIZADO'!AV195)</f>
        <v>84499999</v>
      </c>
      <c r="K122" s="167">
        <f t="shared" si="6"/>
        <v>1</v>
      </c>
      <c r="L122" s="224">
        <f>SUM('SGTO POAI 2024 ARMONIZADO'!AW195)</f>
        <v>84499999</v>
      </c>
      <c r="M122" s="166">
        <f t="shared" si="7"/>
        <v>1</v>
      </c>
    </row>
    <row r="123" spans="1:13" s="142" customFormat="1" ht="50.25" customHeight="1" x14ac:dyDescent="0.25">
      <c r="A123" s="108">
        <v>312</v>
      </c>
      <c r="B123" s="108">
        <f>'SGTO POAI 2024 ARMONIZADO'!E196</f>
        <v>2</v>
      </c>
      <c r="C123" s="109" t="str">
        <f>'SGTO POAI 2024 ARMONIZADO'!F196</f>
        <v xml:space="preserve">Productividad, Competitividad y Medio Ambiente. “Quindío amigo de las empresas y el empleo. Quindío verde, territorio de agua, agricultura y medio ambiente” </v>
      </c>
      <c r="D123" s="108" t="str">
        <f>'SGTO POAI 2024 ARMONIZADO'!I196</f>
        <v>3204</v>
      </c>
      <c r="E123" s="109" t="str">
        <f>'SGTO POAI 2024 ARMONIZADO'!J196</f>
        <v xml:space="preserve">Gestión de la información y el conocimiento ambiental </v>
      </c>
      <c r="F123" s="108">
        <f t="shared" si="9"/>
        <v>110</v>
      </c>
      <c r="G123" s="108">
        <f>'SGTO POAI 2024 ARMONIZADO'!R196</f>
        <v>2020003630029</v>
      </c>
      <c r="H123" s="112" t="str">
        <f>'SGTO POAI 2024 ARMONIZADO'!S196</f>
        <v xml:space="preserve">Apoyo a nuevos modelos de vida sostenibles, sustentables y eficientes en el suelo rural y urbano en el Departamento del Quindío  </v>
      </c>
      <c r="I123" s="224">
        <f>SUM('SGTO POAI 2024 ARMONIZADO'!AU196)</f>
        <v>52250000</v>
      </c>
      <c r="J123" s="224">
        <f>SUM('SGTO POAI 2024 ARMONIZADO'!AV196)</f>
        <v>52250000</v>
      </c>
      <c r="K123" s="167">
        <f t="shared" si="6"/>
        <v>1</v>
      </c>
      <c r="L123" s="224">
        <f>SUM('SGTO POAI 2024 ARMONIZADO'!AW196)</f>
        <v>52250000</v>
      </c>
      <c r="M123" s="166">
        <f t="shared" si="7"/>
        <v>1</v>
      </c>
    </row>
    <row r="124" spans="1:13" s="142" customFormat="1" ht="38.25" customHeight="1" x14ac:dyDescent="0.25">
      <c r="A124" s="108">
        <v>312</v>
      </c>
      <c r="B124" s="108">
        <f>'SGTO POAI 2024 ARMONIZADO'!E197</f>
        <v>2</v>
      </c>
      <c r="C124" s="109" t="str">
        <f>'SGTO POAI 2024 ARMONIZADO'!F197</f>
        <v xml:space="preserve">Productividad, Competitividad y Medio Ambiente. “Quindío amigo de las empresas y el empleo. Quindío verde, territorio de agua, agricultura y medio ambiente” </v>
      </c>
      <c r="D124" s="108">
        <f>'SGTO POAI 2024 ARMONIZADO'!I197</f>
        <v>3201</v>
      </c>
      <c r="E124" s="109" t="str">
        <f>'SGTO POAI 2024 ARMONIZADO'!J197</f>
        <v>Fortalecimiento del desempeño ambiental de los sectores productivos</v>
      </c>
      <c r="F124" s="108">
        <f t="shared" si="9"/>
        <v>111</v>
      </c>
      <c r="G124" s="108">
        <f>'SGTO POAI 2024 ARMONIZADO'!R197</f>
        <v>2024003630088</v>
      </c>
      <c r="H124" s="112" t="str">
        <f>'SGTO POAI 2024 ARMONIZADO'!S197</f>
        <v>Apoyo a nuevos modelos para la consolidación de negocios verdes en el Departamento del Quindío</v>
      </c>
      <c r="I124" s="224">
        <f>SUM('SGTO POAI 2024 ARMONIZADO'!AU197)</f>
        <v>42903335</v>
      </c>
      <c r="J124" s="224">
        <f>SUM('SGTO POAI 2024 ARMONIZADO'!AV197)</f>
        <v>42300000</v>
      </c>
      <c r="K124" s="167">
        <f t="shared" si="6"/>
        <v>0.98593734030233315</v>
      </c>
      <c r="L124" s="224">
        <f>SUM('SGTO POAI 2024 ARMONIZADO'!AW197)</f>
        <v>31400000</v>
      </c>
      <c r="M124" s="166">
        <f t="shared" si="7"/>
        <v>0.73187783653648375</v>
      </c>
    </row>
    <row r="125" spans="1:13" s="142" customFormat="1" ht="56.25" customHeight="1" x14ac:dyDescent="0.25">
      <c r="A125" s="108">
        <v>312</v>
      </c>
      <c r="B125" s="108">
        <f>'SGTO POAI 2024 ARMONIZADO'!E198</f>
        <v>2</v>
      </c>
      <c r="C125" s="109" t="str">
        <f>'SGTO POAI 2024 ARMONIZADO'!F198</f>
        <v xml:space="preserve">Productividad, Competitividad y Medio Ambiente. “Quindío amigo de las empresas y el empleo. Quindío verde, territorio de agua, agricultura y medio ambiente” </v>
      </c>
      <c r="D125" s="108">
        <f>'SGTO POAI 2024 ARMONIZADO'!I198</f>
        <v>3205</v>
      </c>
      <c r="E125" s="109" t="str">
        <f>'SGTO POAI 2024 ARMONIZADO'!J198</f>
        <v xml:space="preserve">Ordenamiento ambiental territorial </v>
      </c>
      <c r="F125" s="108">
        <f t="shared" si="9"/>
        <v>112</v>
      </c>
      <c r="G125" s="108">
        <f>'SGTO POAI 2024 ARMONIZADO'!R198</f>
        <v>2020003630030</v>
      </c>
      <c r="H125" s="112" t="str">
        <f>'SGTO POAI 2024 ARMONIZADO'!S198</f>
        <v>Implementación de un programa  de protección del  patrimonio ambiental  en paisaje la biodiversidad y sus servicios ecosistémicos en el Departamento de  Quindio</v>
      </c>
      <c r="I125" s="224">
        <f>SUM('SGTO POAI 2024 ARMONIZADO'!AU198:AU199)</f>
        <v>180000000</v>
      </c>
      <c r="J125" s="224">
        <f>SUM('SGTO POAI 2024 ARMONIZADO'!AV198:AV199)</f>
        <v>180000000</v>
      </c>
      <c r="K125" s="167">
        <f t="shared" si="6"/>
        <v>1</v>
      </c>
      <c r="L125" s="224">
        <f>SUM('SGTO POAI 2024 ARMONIZADO'!AW198:AW199)</f>
        <v>180000000</v>
      </c>
      <c r="M125" s="166">
        <f t="shared" si="7"/>
        <v>1</v>
      </c>
    </row>
    <row r="126" spans="1:13" s="142" customFormat="1" ht="58.5" customHeight="1" x14ac:dyDescent="0.25">
      <c r="A126" s="108">
        <v>312</v>
      </c>
      <c r="B126" s="108">
        <f>'SGTO POAI 2024 ARMONIZADO'!E200</f>
        <v>2</v>
      </c>
      <c r="C126" s="109" t="str">
        <f>'SGTO POAI 2024 ARMONIZADO'!F200</f>
        <v xml:space="preserve">Productividad, Competitividad y Medio Ambiente. “Quindío amigo de las empresas y el empleo. Quindío verde, territorio de agua, agricultura y medio ambiente” </v>
      </c>
      <c r="D126" s="108">
        <f>'SGTO POAI 2024 ARMONIZADO'!I200</f>
        <v>3205</v>
      </c>
      <c r="E126" s="109" t="str">
        <f>'SGTO POAI 2024 ARMONIZADO'!J200</f>
        <v>Ordenamiento ambiental territorial</v>
      </c>
      <c r="F126" s="108">
        <f t="shared" si="9"/>
        <v>113</v>
      </c>
      <c r="G126" s="108">
        <f>'SGTO POAI 2024 ARMONIZADO'!R200</f>
        <v>2024003630067</v>
      </c>
      <c r="H126" s="112" t="str">
        <f>'SGTO POAI 2024 ARMONIZADO'!S200</f>
        <v>Apoyo al programa  de protección del  patrimonio ambiental , en paisaje, la biodiversidad y sus servicios ecosistémicos en el Departamento del Quindío</v>
      </c>
      <c r="I126" s="224">
        <f>SUM('SGTO POAI 2024 ARMONIZADO'!AU200:AU201)</f>
        <v>5000000</v>
      </c>
      <c r="J126" s="224">
        <f>SUM('SGTO POAI 2024 ARMONIZADO'!AV200:AV201)</f>
        <v>0</v>
      </c>
      <c r="K126" s="167">
        <f t="shared" si="6"/>
        <v>0</v>
      </c>
      <c r="L126" s="224">
        <f>SUM('SGTO POAI 2024 ARMONIZADO'!AW200:AW201)</f>
        <v>0</v>
      </c>
      <c r="M126" s="166">
        <f t="shared" si="7"/>
        <v>0</v>
      </c>
    </row>
    <row r="127" spans="1:13" s="142" customFormat="1" ht="53.25" customHeight="1" x14ac:dyDescent="0.25">
      <c r="A127" s="108">
        <v>312</v>
      </c>
      <c r="B127" s="108">
        <f>'SGTO POAI 2024 ARMONIZADO'!E202</f>
        <v>2</v>
      </c>
      <c r="C127" s="109" t="str">
        <f>'SGTO POAI 2024 ARMONIZADO'!F202</f>
        <v xml:space="preserve">Productividad, Competitividad y Medio Ambiente. “Quindío amigo de las empresas y el empleo. Quindío verde, territorio de agua, agricultura y medio ambiente” </v>
      </c>
      <c r="D127" s="108" t="str">
        <f>'SGTO POAI 2024 ARMONIZADO'!I202</f>
        <v>3206</v>
      </c>
      <c r="E127" s="109" t="str">
        <f>'SGTO POAI 2024 ARMONIZADO'!J202</f>
        <v>Gestión del cambio climático para un desarrollo bajo en carbono y resiliente al clima</v>
      </c>
      <c r="F127" s="108">
        <f t="shared" si="9"/>
        <v>114</v>
      </c>
      <c r="G127" s="108">
        <f>'SGTO POAI 2024 ARMONIZADO'!R202</f>
        <v>2020003630088</v>
      </c>
      <c r="H127" s="112" t="str">
        <f>'SGTO POAI 2024 ARMONIZADO'!S202</f>
        <v>Implementación  de acciones de Gestión del Cambio Climático en el marco del PIGCC en el Departamento del Quindío  Quindio</v>
      </c>
      <c r="I127" s="224">
        <f>SUM('SGTO POAI 2024 ARMONIZADO'!AU202:AU204)</f>
        <v>322129999.94999999</v>
      </c>
      <c r="J127" s="224">
        <f>SUM('SGTO POAI 2024 ARMONIZADO'!AV202:AV204)</f>
        <v>322129999.94999999</v>
      </c>
      <c r="K127" s="167">
        <f t="shared" si="6"/>
        <v>1</v>
      </c>
      <c r="L127" s="224">
        <f>SUM('SGTO POAI 2024 ARMONIZADO'!AW202:AW204)</f>
        <v>235249999</v>
      </c>
      <c r="M127" s="166">
        <f t="shared" si="7"/>
        <v>0.73029521943474618</v>
      </c>
    </row>
    <row r="128" spans="1:13" s="142" customFormat="1" ht="54" customHeight="1" x14ac:dyDescent="0.25">
      <c r="A128" s="108">
        <v>312</v>
      </c>
      <c r="B128" s="108">
        <f>'SGTO POAI 2024 ARMONIZADO'!E205</f>
        <v>2</v>
      </c>
      <c r="C128" s="109" t="str">
        <f>'SGTO POAI 2024 ARMONIZADO'!F205</f>
        <v xml:space="preserve">Productividad, Competitividad y Medio Ambiente. “Quindío amigo de las empresas y el empleo. Quindío verde, territorio de agua, agricultura y medio ambiente” </v>
      </c>
      <c r="D128" s="108" t="str">
        <f>'SGTO POAI 2024 ARMONIZADO'!I205</f>
        <v>3206</v>
      </c>
      <c r="E128" s="109" t="str">
        <f>'SGTO POAI 2024 ARMONIZADO'!J205</f>
        <v>Gestión del cambio climático para un desarrollo bajo en carbono y resiliente al clima</v>
      </c>
      <c r="F128" s="108">
        <f t="shared" si="9"/>
        <v>115</v>
      </c>
      <c r="G128" s="108">
        <f>'SGTO POAI 2024 ARMONIZADO'!R205</f>
        <v>2024003630068</v>
      </c>
      <c r="H128" s="112" t="str">
        <f>'SGTO POAI 2024 ARMONIZADO'!S205</f>
        <v>Apoyo a acciones de Gestión del Cambio Climático en el marco del PIGCC, en el Departamento del Quindío</v>
      </c>
      <c r="I128" s="224">
        <f>SUM('SGTO POAI 2024 ARMONIZADO'!AU205:AU208)</f>
        <v>85200000</v>
      </c>
      <c r="J128" s="224">
        <f>SUM('SGTO POAI 2024 ARMONIZADO'!AV205:AV208)</f>
        <v>52776666</v>
      </c>
      <c r="K128" s="167">
        <f t="shared" si="6"/>
        <v>0.61944443661971826</v>
      </c>
      <c r="L128" s="224">
        <f>SUM('SGTO POAI 2024 ARMONIZADO'!AW205:AW208)</f>
        <v>28300000</v>
      </c>
      <c r="M128" s="166">
        <f t="shared" si="7"/>
        <v>0.33215962441314556</v>
      </c>
    </row>
    <row r="129" spans="1:13" s="142" customFormat="1" ht="57.75" customHeight="1" x14ac:dyDescent="0.25">
      <c r="A129" s="108">
        <v>312</v>
      </c>
      <c r="B129" s="108">
        <f>'SGTO POAI 2024 ARMONIZADO'!E209</f>
        <v>2</v>
      </c>
      <c r="C129" s="109" t="str">
        <f>'SGTO POAI 2024 ARMONIZADO'!F209</f>
        <v xml:space="preserve">Productividad, Competitividad y Medio Ambiente. “Quindío amigo de las empresas y el empleo. Quindío verde, territorio de agua, agricultura y medio ambiente” </v>
      </c>
      <c r="D129" s="108">
        <f>'SGTO POAI 2024 ARMONIZADO'!I209</f>
        <v>3208</v>
      </c>
      <c r="E129" s="109" t="str">
        <f>'SGTO POAI 2024 ARMONIZADO'!J209</f>
        <v xml:space="preserve">Educación ambiental </v>
      </c>
      <c r="F129" s="108">
        <f t="shared" si="9"/>
        <v>116</v>
      </c>
      <c r="G129" s="108">
        <f>'SGTO POAI 2024 ARMONIZADO'!R209</f>
        <v>2024003630080</v>
      </c>
      <c r="H129" s="112" t="str">
        <f>'SGTO POAI 2024 ARMONIZADO'!S209</f>
        <v>Apoyo a campañas de sensibilización y apropiación del patrimonio ambiental del paisaje, la biodiversidad y sus servicios ecosistémicos en el Departamento del Quindío</v>
      </c>
      <c r="I129" s="224">
        <f>SUM('SGTO POAI 2024 ARMONIZADO'!AU209)</f>
        <v>44500001</v>
      </c>
      <c r="J129" s="224">
        <f>SUM('SGTO POAI 2024 ARMONIZADO'!AV209)</f>
        <v>40173333</v>
      </c>
      <c r="K129" s="167">
        <f t="shared" si="6"/>
        <v>0.90277150780288751</v>
      </c>
      <c r="L129" s="224">
        <f>SUM('SGTO POAI 2024 ARMONIZADO'!AW209)</f>
        <v>22400000</v>
      </c>
      <c r="M129" s="166">
        <f t="shared" si="7"/>
        <v>0.50337077520515117</v>
      </c>
    </row>
    <row r="130" spans="1:13" s="142" customFormat="1" ht="50.25" customHeight="1" x14ac:dyDescent="0.25">
      <c r="A130" s="108">
        <v>312</v>
      </c>
      <c r="B130" s="108">
        <f>'SGTO POAI 2024 ARMONIZADO'!E210</f>
        <v>4</v>
      </c>
      <c r="C130" s="109" t="str">
        <f>'SGTO POAI 2024 ARMONIZADO'!F210</f>
        <v>Gobernabilidad, Fortalecimiento Institucional y Seguridad. “Quindío territorio seguro y confiable”</v>
      </c>
      <c r="D130" s="108">
        <f>'SGTO POAI 2024 ARMONIZADO'!I210</f>
        <v>4501</v>
      </c>
      <c r="E130" s="109" t="str">
        <f>'SGTO POAI 2024 ARMONIZADO'!J210</f>
        <v>Fortalecimiento de la convivencia y la seguridad ciudadana</v>
      </c>
      <c r="F130" s="108">
        <f t="shared" si="9"/>
        <v>117</v>
      </c>
      <c r="G130" s="108">
        <f>'SGTO POAI 2024 ARMONIZADO'!R210</f>
        <v>2024003630062</v>
      </c>
      <c r="H130" s="112" t="str">
        <f>'SGTO POAI 2024 ARMONIZADO'!S210</f>
        <v>Implementación y articulación de la ruta integral de atención para la protección y bienestar animal en el Departamento del Quindío</v>
      </c>
      <c r="I130" s="224">
        <f>SUM('SGTO POAI 2024 ARMONIZADO'!AU210:AU214)</f>
        <v>184433334</v>
      </c>
      <c r="J130" s="224">
        <f>SUM('SGTO POAI 2024 ARMONIZADO'!AV210:AV214)</f>
        <v>55910000</v>
      </c>
      <c r="K130" s="167">
        <f t="shared" si="6"/>
        <v>0.30314476666132384</v>
      </c>
      <c r="L130" s="224">
        <f>SUM('SGTO POAI 2024 ARMONIZADO'!AW210:AW214)</f>
        <v>34400000</v>
      </c>
      <c r="M130" s="166">
        <f t="shared" si="7"/>
        <v>0.1865172594017088</v>
      </c>
    </row>
    <row r="131" spans="1:13" s="142" customFormat="1" ht="51" customHeight="1" x14ac:dyDescent="0.25">
      <c r="A131" s="108">
        <v>312</v>
      </c>
      <c r="B131" s="108">
        <f>'SGTO POAI 2024 ARMONIZADO'!E215</f>
        <v>2</v>
      </c>
      <c r="C131" s="109" t="str">
        <f>'SGTO POAI 2024 ARMONIZADO'!F215</f>
        <v xml:space="preserve">Productividad, Competitividad y Medio Ambiente. “Quindío amigo de las empresas y el empleo. Quindío verde, territorio de agua, agricultura y medio ambiente” </v>
      </c>
      <c r="D131" s="108">
        <f>'SGTO POAI 2024 ARMONIZADO'!I215</f>
        <v>1704</v>
      </c>
      <c r="E131" s="109" t="str">
        <f>'SGTO POAI 2024 ARMONIZADO'!J215</f>
        <v>Ordenamiento social y uso productivo del territorio rural</v>
      </c>
      <c r="F131" s="108">
        <f t="shared" si="9"/>
        <v>118</v>
      </c>
      <c r="G131" s="108">
        <f>'SGTO POAI 2024 ARMONIZADO'!R215</f>
        <v>2024003630056</v>
      </c>
      <c r="H131" s="112" t="str">
        <f>'SGTO POAI 2024 ARMONIZADO'!S215</f>
        <v>Fortalecimiento de procesos de ordenamiento productivo y social territorial en el Departamento del Quindío</v>
      </c>
      <c r="I131" s="224">
        <f>SUM('SGTO POAI 2024 ARMONIZADO'!AU215)</f>
        <v>70000000</v>
      </c>
      <c r="J131" s="224">
        <f>SUM('SGTO POAI 2024 ARMONIZADO'!AV215)</f>
        <v>62813333</v>
      </c>
      <c r="K131" s="167">
        <f t="shared" si="6"/>
        <v>0.89733332857142856</v>
      </c>
      <c r="L131" s="224">
        <f>SUM('SGTO POAI 2024 ARMONIZADO'!AW215)</f>
        <v>39400000</v>
      </c>
      <c r="M131" s="166">
        <f t="shared" si="7"/>
        <v>0.56285714285714283</v>
      </c>
    </row>
    <row r="132" spans="1:13" s="142" customFormat="1" ht="21" customHeight="1" x14ac:dyDescent="0.25">
      <c r="A132" s="16">
        <v>313</v>
      </c>
      <c r="B132" s="16"/>
      <c r="C132" s="16"/>
      <c r="D132" s="187"/>
      <c r="E132" s="12"/>
      <c r="F132" s="5" t="s">
        <v>1132</v>
      </c>
      <c r="G132" s="6"/>
      <c r="H132" s="10"/>
      <c r="I132" s="223">
        <f>SUM(I133:I138)</f>
        <v>2091395027.28</v>
      </c>
      <c r="J132" s="223">
        <f>SUM(J133:J138)</f>
        <v>2014331638</v>
      </c>
      <c r="K132" s="168">
        <f t="shared" ref="K132:K195" si="10">J132/I132</f>
        <v>0.96315216002964965</v>
      </c>
      <c r="L132" s="223">
        <f>SUM(L133:L138)</f>
        <v>1360563139</v>
      </c>
      <c r="M132" s="168">
        <f t="shared" ref="M132:M195" si="11">L132/I132</f>
        <v>0.65055291862747899</v>
      </c>
    </row>
    <row r="133" spans="1:13" s="142" customFormat="1" ht="73.5" customHeight="1" x14ac:dyDescent="0.25">
      <c r="A133" s="108">
        <v>313</v>
      </c>
      <c r="B133" s="108">
        <f>'SGTO POAI 2024 ARMONIZADO'!E216</f>
        <v>4</v>
      </c>
      <c r="C133" s="109" t="str">
        <f>'SGTO POAI 2024 ARMONIZADO'!F216</f>
        <v>Gobernabilidad, Fortalecimiento Institucional y Seguridad. “Quindío territorio seguro y confiable”</v>
      </c>
      <c r="D133" s="108">
        <f>'SGTO POAI 2024 ARMONIZADO'!I220</f>
        <v>4502</v>
      </c>
      <c r="E133" s="109" t="str">
        <f>'SGTO POAI 2024 ARMONIZADO'!J220</f>
        <v>Fortalecimiento del buen gobierno para el respeto y garantía de los derechos humanos</v>
      </c>
      <c r="F133" s="108">
        <f>F131+1</f>
        <v>119</v>
      </c>
      <c r="G133" s="108">
        <f>'SGTO POAI 2024 ARMONIZADO'!R220</f>
        <v>2020003630031</v>
      </c>
      <c r="H133" s="112" t="str">
        <f>'SGTO POAI 2024 ARMONIZADO'!S220</f>
        <v>Fortalecimiento de  las capacidades institucionales de la administración departamental del Quindío, para generar condiciones de gobernanza territorial, participación, administración eficiente y transparente.</v>
      </c>
      <c r="I133" s="224">
        <f>'SGTO POAI 2024 ARMONIZADO'!AU220</f>
        <v>744242139</v>
      </c>
      <c r="J133" s="224">
        <f>'SGTO POAI 2024 ARMONIZADO'!AV220</f>
        <v>737836639</v>
      </c>
      <c r="K133" s="167">
        <f t="shared" si="10"/>
        <v>0.99139325810198442</v>
      </c>
      <c r="L133" s="224">
        <f>'SGTO POAI 2024 ARMONIZADO'!AW220</f>
        <v>737836639</v>
      </c>
      <c r="M133" s="166">
        <f t="shared" si="11"/>
        <v>0.99139325810198442</v>
      </c>
    </row>
    <row r="134" spans="1:13" s="142" customFormat="1" ht="60" customHeight="1" x14ac:dyDescent="0.25">
      <c r="A134" s="108">
        <v>313</v>
      </c>
      <c r="B134" s="108">
        <f>'SGTO POAI 2024 ARMONIZADO'!E217</f>
        <v>4</v>
      </c>
      <c r="C134" s="109" t="str">
        <f>'SGTO POAI 2024 ARMONIZADO'!F217</f>
        <v xml:space="preserve">Gobernabilidad, Fortalecimiento Institucional y Seguridad. “Quindío territorio seguro y confiable” </v>
      </c>
      <c r="D134" s="108" t="str">
        <f>'SGTO POAI 2024 ARMONIZADO'!I221</f>
        <v>4502</v>
      </c>
      <c r="E134" s="109" t="str">
        <f>'SGTO POAI 2024 ARMONIZADO'!J221</f>
        <v>Fortalecimiento del buen gobierno para el respeto y garantía de los derechos humanos</v>
      </c>
      <c r="F134" s="108">
        <f>F133+1</f>
        <v>120</v>
      </c>
      <c r="G134" s="108">
        <f>'SGTO POAI 2024 ARMONIZADO'!R221</f>
        <v>2024003630031</v>
      </c>
      <c r="H134" s="112" t="str">
        <f>'SGTO POAI 2024 ARMONIZADO'!S221</f>
        <v>Fortalecimiento de las habilidades institucionales de la administración departamental, a través de espacios de participación ciudadana, gestión eficaz y transparente en el departamento del Quindío.</v>
      </c>
      <c r="I134" s="224">
        <f>'SGTO POAI 2024 ARMONIZADO'!AU221</f>
        <v>97152888.280000001</v>
      </c>
      <c r="J134" s="224">
        <f>'SGTO POAI 2024 ARMONIZADO'!AV221</f>
        <v>73253334</v>
      </c>
      <c r="K134" s="167">
        <f t="shared" si="10"/>
        <v>0.75400057884928584</v>
      </c>
      <c r="L134" s="224">
        <f>'SGTO POAI 2024 ARMONIZADO'!AW221</f>
        <v>37900000</v>
      </c>
      <c r="M134" s="166">
        <f t="shared" si="11"/>
        <v>0.390106775732391</v>
      </c>
    </row>
    <row r="135" spans="1:13" s="142" customFormat="1" ht="79.5" customHeight="1" x14ac:dyDescent="0.25">
      <c r="A135" s="108">
        <v>313</v>
      </c>
      <c r="B135" s="108">
        <f>'SGTO POAI 2024 ARMONIZADO'!E218</f>
        <v>4</v>
      </c>
      <c r="C135" s="109" t="str">
        <f>'SGTO POAI 2024 ARMONIZADO'!F218</f>
        <v>Gobernabilidad, Fortalecimiento Institucional y Seguridad. “Quindío territorio seguro y confiable”</v>
      </c>
      <c r="D135" s="108">
        <f>'SGTO POAI 2024 ARMONIZADO'!I216</f>
        <v>4599</v>
      </c>
      <c r="E135" s="109" t="str">
        <f>'SGTO POAI 2024 ARMONIZADO'!J216</f>
        <v xml:space="preserve">Fortalecimiento a la gestión y dirección de la administración pública territorial </v>
      </c>
      <c r="F135" s="108">
        <f>F134+1</f>
        <v>121</v>
      </c>
      <c r="G135" s="108">
        <f>'SGTO POAI 2024 ARMONIZADO'!R216</f>
        <v>2021003630005</v>
      </c>
      <c r="H135" s="112" t="str">
        <f>'SGTO POAI 2024 ARMONIZADO'!S216</f>
        <v>Implementación de la Política de Transparencia, Acceso a la Información Pública y Lucha Contra la Corrupción del Modelo Integrado de Planificación y Gestión MIPG, articulada con el "Pacto por la Integridad, Transparencia y Legalidad"  en el Departamento del Quindío</v>
      </c>
      <c r="I135" s="224">
        <f>SUM('SGTO POAI 2024 ARMONIZADO'!AU216)</f>
        <v>101200000</v>
      </c>
      <c r="J135" s="224">
        <f>SUM('SGTO POAI 2024 ARMONIZADO'!AV216)</f>
        <v>101200000</v>
      </c>
      <c r="K135" s="167">
        <f t="shared" si="10"/>
        <v>1</v>
      </c>
      <c r="L135" s="224">
        <f>SUM('SGTO POAI 2024 ARMONIZADO'!AW216)</f>
        <v>101121500</v>
      </c>
      <c r="M135" s="166">
        <f t="shared" si="11"/>
        <v>0.99922430830039521</v>
      </c>
    </row>
    <row r="136" spans="1:13" s="142" customFormat="1" ht="70.5" customHeight="1" x14ac:dyDescent="0.25">
      <c r="A136" s="108">
        <v>313</v>
      </c>
      <c r="B136" s="108">
        <f>'SGTO POAI 2024 ARMONIZADO'!E219</f>
        <v>4</v>
      </c>
      <c r="C136" s="109" t="str">
        <f>'SGTO POAI 2024 ARMONIZADO'!F219</f>
        <v xml:space="preserve">Gobernabilidad, Fortalecimiento Institucional y Seguridad. “Quindío territorio seguro y confiable” </v>
      </c>
      <c r="D136" s="108" t="str">
        <f>'SGTO POAI 2024 ARMONIZADO'!I217</f>
        <v>4599</v>
      </c>
      <c r="E136" s="109" t="str">
        <f>'SGTO POAI 2024 ARMONIZADO'!J217</f>
        <v>Fortalecimiento a la gestión y dirección de la administración pública territorial</v>
      </c>
      <c r="F136" s="108">
        <f>F135+1</f>
        <v>122</v>
      </c>
      <c r="G136" s="108">
        <f>'SGTO POAI 2024 ARMONIZADO'!R217</f>
        <v>2024003630021</v>
      </c>
      <c r="H136" s="112" t="str">
        <f>'SGTO POAI 2024 ARMONIZADO'!S217</f>
        <v xml:space="preserve">Fortalecimiento de la Política de Transparencia, acceso a la Información Pública y Lucha contra la Corrupción integrada del Modelo de Planificación y Gestión (MIPG) en la Administración Departamental del   Quindio </v>
      </c>
      <c r="I136" s="224">
        <f>SUM('SGTO POAI 2024 ARMONIZADO'!AU217)</f>
        <v>98800000</v>
      </c>
      <c r="J136" s="224">
        <f>SUM('SGTO POAI 2024 ARMONIZADO'!AV217)</f>
        <v>68316667</v>
      </c>
      <c r="K136" s="167">
        <f t="shared" si="10"/>
        <v>0.69146424089068825</v>
      </c>
      <c r="L136" s="224">
        <f>SUM('SGTO POAI 2024 ARMONIZADO'!AW217)</f>
        <v>30200000</v>
      </c>
      <c r="M136" s="166">
        <f t="shared" si="11"/>
        <v>0.30566801619433198</v>
      </c>
    </row>
    <row r="137" spans="1:13" s="142" customFormat="1" ht="60" customHeight="1" x14ac:dyDescent="0.25">
      <c r="A137" s="108">
        <v>313</v>
      </c>
      <c r="B137" s="108">
        <f>'SGTO POAI 2024 ARMONIZADO'!E220</f>
        <v>4</v>
      </c>
      <c r="C137" s="109" t="str">
        <f>'SGTO POAI 2024 ARMONIZADO'!F220</f>
        <v>Gobernabilidad, Fortalecimiento Institucional y Seguridad. “Quindío territorio seguro y confiable”</v>
      </c>
      <c r="D137" s="108">
        <f>'SGTO POAI 2024 ARMONIZADO'!I218</f>
        <v>4599</v>
      </c>
      <c r="E137" s="109" t="str">
        <f>'SGTO POAI 2024 ARMONIZADO'!J218</f>
        <v xml:space="preserve">Fortalecimiento a la gestión y dirección de la administración pública territorial </v>
      </c>
      <c r="F137" s="108">
        <f>F136+1</f>
        <v>123</v>
      </c>
      <c r="G137" s="108">
        <f>'SGTO POAI 2024 ARMONIZADO'!R218</f>
        <v>2020003630090</v>
      </c>
      <c r="H137" s="112" t="str">
        <f>'SGTO POAI 2024 ARMONIZADO'!S218</f>
        <v>Desarrollo e implementación de  una estrategia  de comunicaciones  de la gestión institucional  de la Administración Departamental del Quindío "Hacia un  gobierno abierto".</v>
      </c>
      <c r="I137" s="224">
        <f>SUM('SGTO POAI 2024 ARMONIZADO'!AU218)</f>
        <v>377155000</v>
      </c>
      <c r="J137" s="224">
        <f>SUM('SGTO POAI 2024 ARMONIZADO'!AV218)</f>
        <v>377155000</v>
      </c>
      <c r="K137" s="167">
        <f t="shared" si="10"/>
        <v>1</v>
      </c>
      <c r="L137" s="224">
        <f>SUM('SGTO POAI 2024 ARMONIZADO'!AW218)</f>
        <v>374855000</v>
      </c>
      <c r="M137" s="166">
        <f t="shared" si="11"/>
        <v>0.99390171149792528</v>
      </c>
    </row>
    <row r="138" spans="1:13" s="142" customFormat="1" ht="60" customHeight="1" x14ac:dyDescent="0.25">
      <c r="A138" s="108">
        <v>313</v>
      </c>
      <c r="B138" s="108">
        <f>'SGTO POAI 2024 ARMONIZADO'!E221</f>
        <v>4</v>
      </c>
      <c r="C138" s="109" t="str">
        <f>'SGTO POAI 2024 ARMONIZADO'!F221</f>
        <v xml:space="preserve">Gobernabilidad, Fortalecimiento Institucional y Seguridad. “Quindío territorio seguro y confiable” </v>
      </c>
      <c r="D138" s="108" t="str">
        <f>'SGTO POAI 2024 ARMONIZADO'!I219</f>
        <v>4599</v>
      </c>
      <c r="E138" s="109" t="str">
        <f>'SGTO POAI 2024 ARMONIZADO'!J219</f>
        <v>Fortalecimiento a la gestión y dirección de la administración pública territorial</v>
      </c>
      <c r="F138" s="108">
        <f>F137+1</f>
        <v>124</v>
      </c>
      <c r="G138" s="108">
        <f>'SGTO POAI 2024 ARMONIZADO'!R219</f>
        <v>2024003630027</v>
      </c>
      <c r="H138" s="112" t="str">
        <f>'SGTO POAI 2024 ARMONIZADO'!S219</f>
        <v>Aplicación de la Ley de transparencia y del derecho de acceso a la información pública nacional a las estrategias de comunicación y oferta publica en el departamento Quindío</v>
      </c>
      <c r="I138" s="224">
        <f>SUM('SGTO POAI 2024 ARMONIZADO'!AU219)</f>
        <v>672845000</v>
      </c>
      <c r="J138" s="224">
        <f>SUM('SGTO POAI 2024 ARMONIZADO'!AV219)</f>
        <v>656569998</v>
      </c>
      <c r="K138" s="167">
        <f t="shared" si="10"/>
        <v>0.97581166241853623</v>
      </c>
      <c r="L138" s="224">
        <f>SUM('SGTO POAI 2024 ARMONIZADO'!AW219)</f>
        <v>78650000</v>
      </c>
      <c r="M138" s="166">
        <f t="shared" si="11"/>
        <v>0.11689170611359229</v>
      </c>
    </row>
    <row r="139" spans="1:13" s="142" customFormat="1" ht="25.5" customHeight="1" x14ac:dyDescent="0.25">
      <c r="A139" s="16">
        <v>314</v>
      </c>
      <c r="B139" s="16"/>
      <c r="C139" s="16"/>
      <c r="D139" s="187"/>
      <c r="E139" s="12"/>
      <c r="F139" s="5" t="s">
        <v>1133</v>
      </c>
      <c r="G139" s="6"/>
      <c r="H139" s="10"/>
      <c r="I139" s="223">
        <f>SUM(I140:I149)</f>
        <v>276340724380.25</v>
      </c>
      <c r="J139" s="223">
        <f>SUM(J140:J149)</f>
        <v>206228135560.27002</v>
      </c>
      <c r="K139" s="168">
        <f t="shared" si="10"/>
        <v>0.74628209802510415</v>
      </c>
      <c r="L139" s="223">
        <f>SUM(L140:L149)</f>
        <v>200014001209.21002</v>
      </c>
      <c r="M139" s="168">
        <f t="shared" si="11"/>
        <v>0.72379487915790153</v>
      </c>
    </row>
    <row r="140" spans="1:13" s="142" customFormat="1" ht="60" customHeight="1" x14ac:dyDescent="0.25">
      <c r="A140" s="108">
        <v>314</v>
      </c>
      <c r="B140" s="108">
        <f>'SGTO POAI 2024 ARMONIZADO'!E222</f>
        <v>1</v>
      </c>
      <c r="C140" s="109" t="str">
        <f>'SGTO POAI 2024 ARMONIZADO'!F222</f>
        <v>Social, Inclusiva y Participativa. "En el Quindío todos caben y nadie se quedan atrás".</v>
      </c>
      <c r="D140" s="108">
        <f>'SGTO POAI 2024 ARMONIZADO'!I222</f>
        <v>2201</v>
      </c>
      <c r="E140" s="109" t="str">
        <f>'SGTO POAI 2024 ARMONIZADO'!J222</f>
        <v>Calidad, cobertura y fortalecimiento de la educación inicial, prescolar, básica y media</v>
      </c>
      <c r="F140" s="108">
        <f>F138+1</f>
        <v>125</v>
      </c>
      <c r="G140" s="108">
        <f>'SGTO POAI 2024 ARMONIZADO'!R222</f>
        <v>2020003630091</v>
      </c>
      <c r="H140" s="112" t="str">
        <f>'SGTO POAI 2024 ARMONIZADO'!S222</f>
        <v>Fortalecimiento de Estrategias de Acceso, Bienestar y Permanencia en el Sector Educativo del Departamento del Quindío</v>
      </c>
      <c r="I140" s="224">
        <f>SUM('SGTO POAI 2024 ARMONIZADO'!AU222:AU224)</f>
        <v>19609729413</v>
      </c>
      <c r="J140" s="224">
        <f>SUM('SGTO POAI 2024 ARMONIZADO'!AV222:AV224)</f>
        <v>19609729413</v>
      </c>
      <c r="K140" s="167">
        <f t="shared" si="10"/>
        <v>1</v>
      </c>
      <c r="L140" s="224">
        <f>SUM('SGTO POAI 2024 ARMONIZADO'!AW222:AW224)</f>
        <v>18294218786.34</v>
      </c>
      <c r="M140" s="166">
        <f t="shared" si="11"/>
        <v>0.93291541158197211</v>
      </c>
    </row>
    <row r="141" spans="1:13" s="142" customFormat="1" ht="60" customHeight="1" x14ac:dyDescent="0.25">
      <c r="A141" s="108">
        <v>314</v>
      </c>
      <c r="B141" s="108">
        <f>'SGTO POAI 2024 ARMONIZADO'!E223</f>
        <v>1</v>
      </c>
      <c r="C141" s="109" t="str">
        <f>'SGTO POAI 2024 ARMONIZADO'!F223</f>
        <v>Social, Inclusiva y Participativa. "En el Quindío todos caben y nadie se quedan atrás".</v>
      </c>
      <c r="D141" s="108">
        <f>'SGTO POAI 2024 ARMONIZADO'!I225</f>
        <v>2201</v>
      </c>
      <c r="E141" s="109" t="str">
        <f>'SGTO POAI 2024 ARMONIZADO'!J225</f>
        <v>Calidad, cobertura y fortalecimiento de la educación inicial, prescolar, básica y media</v>
      </c>
      <c r="F141" s="108">
        <f t="shared" ref="F141:F149" si="12">F140+1</f>
        <v>126</v>
      </c>
      <c r="G141" s="108">
        <f>'SGTO POAI 2024 ARMONIZADO'!R225</f>
        <v>2024003630023</v>
      </c>
      <c r="H141" s="112" t="str">
        <f>'SGTO POAI 2024 ARMONIZADO'!S225</f>
        <v>Fortalecimiento en la oferta, el acceso y permanencia escolar en la educación inicial, preescolar, básica y media en el departamento del Quindío</v>
      </c>
      <c r="I141" s="224">
        <f>SUM('SGTO POAI 2024 ARMONIZADO'!AU225:AU232)</f>
        <v>6725578692.3199997</v>
      </c>
      <c r="J141" s="224">
        <f>SUM('SGTO POAI 2024 ARMONIZADO'!AV225:AV232)</f>
        <v>5375059214.6800003</v>
      </c>
      <c r="K141" s="167">
        <f t="shared" si="10"/>
        <v>0.79919653914953515</v>
      </c>
      <c r="L141" s="224">
        <f>SUM('SGTO POAI 2024 ARMONIZADO'!AW225:AW232)</f>
        <v>3876367748</v>
      </c>
      <c r="M141" s="166">
        <f t="shared" si="11"/>
        <v>0.5763619645736151</v>
      </c>
    </row>
    <row r="142" spans="1:13" s="142" customFormat="1" ht="60" customHeight="1" x14ac:dyDescent="0.25">
      <c r="A142" s="108">
        <v>314</v>
      </c>
      <c r="B142" s="108">
        <f>'SGTO POAI 2024 ARMONIZADO'!E224</f>
        <v>1</v>
      </c>
      <c r="C142" s="109" t="str">
        <f>'SGTO POAI 2024 ARMONIZADO'!F224</f>
        <v>Social, Inclusiva y Participativa. "En el Quindío todos caben y nadie se quedan atrás".</v>
      </c>
      <c r="D142" s="108">
        <f>'SGTO POAI 2024 ARMONIZADO'!I233</f>
        <v>2201</v>
      </c>
      <c r="E142" s="109" t="str">
        <f>'SGTO POAI 2024 ARMONIZADO'!J233</f>
        <v>Calidad, cobertura y fortalecimiento de la educación inicial, prescolar, básica y media</v>
      </c>
      <c r="F142" s="108">
        <f t="shared" si="12"/>
        <v>127</v>
      </c>
      <c r="G142" s="108">
        <f>'SGTO POAI 2024 ARMONIZADO'!R233</f>
        <v>2020003630092</v>
      </c>
      <c r="H142" s="112" t="str">
        <f>'SGTO POAI 2024 ARMONIZADO'!S233</f>
        <v>Fortalecimiento para la gestión de la educación inicial y preescolar en el marco de la atención integral a la primera infancia en el Departamento del Quindío.</v>
      </c>
      <c r="I142" s="224">
        <f>SUM('SGTO POAI 2024 ARMONIZADO'!AU233)</f>
        <v>581084000</v>
      </c>
      <c r="J142" s="224">
        <f>SUM('SGTO POAI 2024 ARMONIZADO'!AV233)</f>
        <v>581084000</v>
      </c>
      <c r="K142" s="167">
        <f t="shared" si="10"/>
        <v>1</v>
      </c>
      <c r="L142" s="224">
        <f>SUM('SGTO POAI 2024 ARMONIZADO'!AW233)</f>
        <v>581084000</v>
      </c>
      <c r="M142" s="166">
        <f t="shared" si="11"/>
        <v>1</v>
      </c>
    </row>
    <row r="143" spans="1:13" s="142" customFormat="1" ht="48.75" customHeight="1" x14ac:dyDescent="0.25">
      <c r="A143" s="108">
        <v>314</v>
      </c>
      <c r="B143" s="108">
        <f>'SGTO POAI 2024 ARMONIZADO'!E225</f>
        <v>1</v>
      </c>
      <c r="C143" s="109" t="str">
        <f>'SGTO POAI 2024 ARMONIZADO'!F225</f>
        <v>Social, Inclusiva y Participativa. "En el Quindío todos caben y nadie se quedan atrás".</v>
      </c>
      <c r="D143" s="108">
        <f>'SGTO POAI 2024 ARMONIZADO'!I234</f>
        <v>2201</v>
      </c>
      <c r="E143" s="109" t="str">
        <f>'SGTO POAI 2024 ARMONIZADO'!J234</f>
        <v>Calidad, cobertura y fortalecimiento de la educación inicial, prescolar, básica y media</v>
      </c>
      <c r="F143" s="108">
        <f t="shared" si="12"/>
        <v>128</v>
      </c>
      <c r="G143" s="108">
        <f>'SGTO POAI 2024 ARMONIZADO'!R234</f>
        <v>2020003630016</v>
      </c>
      <c r="H143" s="112" t="str">
        <f>'SGTO POAI 2024 ARMONIZADO'!S234</f>
        <v>Fortalecimiento territorial para una gestión educativa integral en la Secretaría de Educación Departamental del Quindío</v>
      </c>
      <c r="I143" s="224">
        <f>SUM('SGTO POAI 2024 ARMONIZADO'!AU234+'SGTO POAI 2024 ARMONIZADO'!AU245)</f>
        <v>135843746409.37999</v>
      </c>
      <c r="J143" s="224">
        <f>SUM('SGTO POAI 2024 ARMONIZADO'!AV234+'SGTO POAI 2024 ARMONIZADO'!AV245)</f>
        <v>135672533713.14001</v>
      </c>
      <c r="K143" s="167">
        <f t="shared" si="10"/>
        <v>0.99873963505302621</v>
      </c>
      <c r="L143" s="224">
        <f>SUM('SGTO POAI 2024 ARMONIZADO'!AW234+'SGTO POAI 2024 ARMONIZADO'!AW245)</f>
        <v>133890556410.98003</v>
      </c>
      <c r="M143" s="166">
        <f t="shared" si="11"/>
        <v>0.98562178937178446</v>
      </c>
    </row>
    <row r="144" spans="1:13" s="142" customFormat="1" ht="60" customHeight="1" x14ac:dyDescent="0.25">
      <c r="A144" s="108">
        <v>314</v>
      </c>
      <c r="B144" s="108">
        <f>'SGTO POAI 2024 ARMONIZADO'!E226</f>
        <v>1</v>
      </c>
      <c r="C144" s="109" t="str">
        <f>'SGTO POAI 2024 ARMONIZADO'!F226</f>
        <v>Social, Inclusiva y Participativa. "En el Quindío todos caben y nadie se quedan atrás".</v>
      </c>
      <c r="D144" s="108">
        <f>'SGTO POAI 2024 ARMONIZADO'!I235</f>
        <v>2201</v>
      </c>
      <c r="E144" s="109" t="str">
        <f>'SGTO POAI 2024 ARMONIZADO'!J235</f>
        <v>Calidad, cobertura y fortalecimiento de la educación inicial, prescolar, básica y media</v>
      </c>
      <c r="F144" s="108">
        <f t="shared" si="12"/>
        <v>129</v>
      </c>
      <c r="G144" s="108">
        <f>'SGTO POAI 2024 ARMONIZADO'!R235</f>
        <v>2024003630022</v>
      </c>
      <c r="H144" s="112" t="str">
        <f>'SGTO POAI 2024 ARMONIZADO'!S235</f>
        <v>Fortalecimiento institucional que consolide la calidad educativa con inclusión y equidad como estrategia de permanencia en la educación inicial preescolar, básica y media en el departamento del Quindío</v>
      </c>
      <c r="I144" s="224">
        <f>SUM('SGTO POAI 2024 ARMONIZADO'!AU235:AU244)</f>
        <v>700187843.40999997</v>
      </c>
      <c r="J144" s="224">
        <f>SUM('SGTO POAI 2024 ARMONIZADO'!AV235:AV244)</f>
        <v>638809059.98000014</v>
      </c>
      <c r="K144" s="167">
        <f t="shared" si="10"/>
        <v>0.91233954715483534</v>
      </c>
      <c r="L144" s="224">
        <f>SUM('SGTO POAI 2024 ARMONIZADO'!AW235:AW244)</f>
        <v>371964000</v>
      </c>
      <c r="M144" s="166">
        <f t="shared" si="11"/>
        <v>0.53123458726231243</v>
      </c>
    </row>
    <row r="145" spans="1:13" s="142" customFormat="1" ht="42" customHeight="1" x14ac:dyDescent="0.25">
      <c r="A145" s="108">
        <v>314</v>
      </c>
      <c r="B145" s="108">
        <f>'SGTO POAI 2024 ARMONIZADO'!E227</f>
        <v>1</v>
      </c>
      <c r="C145" s="109" t="str">
        <f>'SGTO POAI 2024 ARMONIZADO'!F227</f>
        <v>Social, Inclusiva y Participativa. "En el Quindío todos caben y nadie se quedan atrás".</v>
      </c>
      <c r="D145" s="108">
        <f>'SGTO POAI 2024 ARMONIZADO'!I246</f>
        <v>2201</v>
      </c>
      <c r="E145" s="109" t="str">
        <f>'SGTO POAI 2024 ARMONIZADO'!J246</f>
        <v>Calidad, cobertura y fortalecimiento de la educación inicial, prescolar, básica y media</v>
      </c>
      <c r="F145" s="108">
        <f t="shared" si="12"/>
        <v>130</v>
      </c>
      <c r="G145" s="108">
        <f>'SGTO POAI 2024 ARMONIZADO'!R246</f>
        <v>2024003630025</v>
      </c>
      <c r="H145" s="112" t="str">
        <f>'SGTO POAI 2024 ARMONIZADO'!S246</f>
        <v>Fortalecimiento institucional para una gestión educativa integral en el departamento del Quindío</v>
      </c>
      <c r="I145" s="224">
        <f>SUM('SGTO POAI 2024 ARMONIZADO'!AU246)</f>
        <v>112036898022.13998</v>
      </c>
      <c r="J145" s="224">
        <f>SUM('SGTO POAI 2024 ARMONIZADO'!AV246)</f>
        <v>43658517128.470001</v>
      </c>
      <c r="K145" s="167">
        <f t="shared" si="10"/>
        <v>0.38967980994834839</v>
      </c>
      <c r="L145" s="224">
        <f>SUM('SGTO POAI 2024 ARMONIZADO'!AW246)</f>
        <v>42822860734.889999</v>
      </c>
      <c r="M145" s="166">
        <f t="shared" si="11"/>
        <v>0.38222104941202167</v>
      </c>
    </row>
    <row r="146" spans="1:13" s="142" customFormat="1" ht="51.75" customHeight="1" x14ac:dyDescent="0.25">
      <c r="A146" s="108">
        <v>314</v>
      </c>
      <c r="B146" s="108">
        <f>'SGTO POAI 2024 ARMONIZADO'!E228</f>
        <v>1</v>
      </c>
      <c r="C146" s="109" t="str">
        <f>'SGTO POAI 2024 ARMONIZADO'!F228</f>
        <v>Social, Inclusiva y Participativa. "En el Quindío todos caben y nadie se quedan atrás".</v>
      </c>
      <c r="D146" s="108">
        <f>'SGTO POAI 2024 ARMONIZADO'!I247</f>
        <v>2201</v>
      </c>
      <c r="E146" s="109" t="str">
        <f>'SGTO POAI 2024 ARMONIZADO'!J247</f>
        <v>Calidad, cobertura y fortalecimiento de la educación inicial, prescolar, básica y media</v>
      </c>
      <c r="F146" s="108">
        <f t="shared" si="12"/>
        <v>131</v>
      </c>
      <c r="G146" s="108">
        <f>'SGTO POAI 2024 ARMONIZADO'!R247</f>
        <v>2020003630094</v>
      </c>
      <c r="H146" s="112" t="str">
        <f>'SGTO POAI 2024 ARMONIZADO'!S247</f>
        <v>Fortalecimiento de las  Tecnologías de Información y Comunicación TIC,  para una innovación educativa de calidad en el departamento del Quindío.</v>
      </c>
      <c r="I146" s="224">
        <f>SUM('SGTO POAI 2024 ARMONIZADO'!AU247)</f>
        <v>585000000</v>
      </c>
      <c r="J146" s="224">
        <f>SUM('SGTO POAI 2024 ARMONIZADO'!AV247)</f>
        <v>466892000</v>
      </c>
      <c r="K146" s="167">
        <f t="shared" si="10"/>
        <v>0.79810598290598289</v>
      </c>
      <c r="L146" s="224">
        <f>SUM('SGTO POAI 2024 ARMONIZADO'!AW247)</f>
        <v>0</v>
      </c>
      <c r="M146" s="166">
        <f t="shared" si="11"/>
        <v>0</v>
      </c>
    </row>
    <row r="147" spans="1:13" s="142" customFormat="1" ht="77.25" customHeight="1" x14ac:dyDescent="0.25">
      <c r="A147" s="108">
        <v>314</v>
      </c>
      <c r="B147" s="108">
        <f>'SGTO POAI 2024 ARMONIZADO'!E229</f>
        <v>1</v>
      </c>
      <c r="C147" s="109" t="str">
        <f>'SGTO POAI 2024 ARMONIZADO'!F229</f>
        <v>Social, Inclusiva y Participativa. "En el Quindío todos caben y nadie se quedan atrás".</v>
      </c>
      <c r="D147" s="108">
        <f>'SGTO POAI 2024 ARMONIZADO'!I248</f>
        <v>2202</v>
      </c>
      <c r="E147" s="109" t="str">
        <f>'SGTO POAI 2024 ARMONIZADO'!J248</f>
        <v xml:space="preserve">Calidad y fomento de la educación superior </v>
      </c>
      <c r="F147" s="108">
        <f t="shared" si="12"/>
        <v>132</v>
      </c>
      <c r="G147" s="108">
        <f>'SGTO POAI 2024 ARMONIZADO'!R248</f>
        <v>2020003630096</v>
      </c>
      <c r="H147" s="112" t="str">
        <f>'SGTO POAI 2024 ARMONIZADO'!S248</f>
        <v>Fortalecimiento de estrategias para el acceso y la permanencia  de los estudiantes egresados de los Establecimientos Educativos Oficiales a la educación superior o terciaria en el Departamento del Quindío.</v>
      </c>
      <c r="I147" s="224">
        <f>SUM('SGTO POAI 2024 ARMONIZADO'!AU248)</f>
        <v>184187996</v>
      </c>
      <c r="J147" s="224">
        <f>SUM('SGTO POAI 2024 ARMONIZADO'!AV248)</f>
        <v>184187996</v>
      </c>
      <c r="K147" s="167">
        <f t="shared" si="10"/>
        <v>1</v>
      </c>
      <c r="L147" s="224">
        <f>SUM('SGTO POAI 2024 ARMONIZADO'!AW248)</f>
        <v>140176494</v>
      </c>
      <c r="M147" s="166">
        <f t="shared" si="11"/>
        <v>0.76105119250008024</v>
      </c>
    </row>
    <row r="148" spans="1:13" s="142" customFormat="1" ht="50.25" customHeight="1" x14ac:dyDescent="0.25">
      <c r="A148" s="108">
        <v>314</v>
      </c>
      <c r="B148" s="108">
        <f>'SGTO POAI 2024 ARMONIZADO'!E230</f>
        <v>1</v>
      </c>
      <c r="C148" s="109" t="str">
        <f>'SGTO POAI 2024 ARMONIZADO'!F230</f>
        <v>Social, Inclusiva y Participativa. "En el Quindío todos caben y nadie se quedan atrás".</v>
      </c>
      <c r="D148" s="108">
        <f>'SGTO POAI 2024 ARMONIZADO'!I249</f>
        <v>2202</v>
      </c>
      <c r="E148" s="109" t="str">
        <f>'SGTO POAI 2024 ARMONIZADO'!J249</f>
        <v>Calidad y fomento de la educación superior</v>
      </c>
      <c r="F148" s="108">
        <f t="shared" si="12"/>
        <v>133</v>
      </c>
      <c r="G148" s="108">
        <f>'SGTO POAI 2024 ARMONIZADO'!R249</f>
        <v>2024003630020</v>
      </c>
      <c r="H148" s="112" t="str">
        <f>'SGTO POAI 2024 ARMONIZADO'!S249</f>
        <v>Fortalecimiento de la cobertura educativa en la educación superior con más acceso y permanencia del departamento del Quindío</v>
      </c>
      <c r="I148" s="224">
        <f>SUM('SGTO POAI 2024 ARMONIZADO'!AU249)</f>
        <v>65812004</v>
      </c>
      <c r="J148" s="224">
        <f>SUM('SGTO POAI 2024 ARMONIZADO'!AV249)</f>
        <v>32873035</v>
      </c>
      <c r="K148" s="167">
        <f t="shared" si="10"/>
        <v>0.49949907314781056</v>
      </c>
      <c r="L148" s="224">
        <f>SUM('SGTO POAI 2024 ARMONIZADO'!AW249)</f>
        <v>32873035</v>
      </c>
      <c r="M148" s="166">
        <f t="shared" si="11"/>
        <v>0.49949907314781056</v>
      </c>
    </row>
    <row r="149" spans="1:13" s="142" customFormat="1" ht="37.5" customHeight="1" x14ac:dyDescent="0.25">
      <c r="A149" s="108">
        <v>314</v>
      </c>
      <c r="B149" s="108">
        <f>'SGTO POAI 2024 ARMONIZADO'!E231</f>
        <v>1</v>
      </c>
      <c r="C149" s="109" t="str">
        <f>'SGTO POAI 2024 ARMONIZADO'!F231</f>
        <v>Social, Inclusiva y Participativa. "En el Quindío todos caben y nadie se quedan atrás".</v>
      </c>
      <c r="D149" s="108">
        <f>'SGTO POAI 2024 ARMONIZADO'!I250</f>
        <v>2201</v>
      </c>
      <c r="E149" s="109" t="str">
        <f>'SGTO POAI 2024 ARMONIZADO'!J250</f>
        <v>Calidad, cobertura y fortalecimiento de la educación inicial, prescolar, básica y media</v>
      </c>
      <c r="F149" s="108">
        <f t="shared" si="12"/>
        <v>134</v>
      </c>
      <c r="G149" s="108">
        <f>'SGTO POAI 2024 ARMONIZADO'!R250</f>
        <v>2024003630019</v>
      </c>
      <c r="H149" s="112" t="str">
        <f>'SGTO POAI 2024 ARMONIZADO'!S250</f>
        <v>Fortalecimiento de la gestión de la información del sector educativo en el departamento del Quindío</v>
      </c>
      <c r="I149" s="224">
        <f>SUM('SGTO POAI 2024 ARMONIZADO'!AU250)</f>
        <v>8500000</v>
      </c>
      <c r="J149" s="224">
        <f>SUM('SGTO POAI 2024 ARMONIZADO'!AV250)</f>
        <v>8450000</v>
      </c>
      <c r="K149" s="167">
        <f t="shared" si="10"/>
        <v>0.99411764705882355</v>
      </c>
      <c r="L149" s="224">
        <f>SUM('SGTO POAI 2024 ARMONIZADO'!AW250)</f>
        <v>3900000</v>
      </c>
      <c r="M149" s="166">
        <f t="shared" si="11"/>
        <v>0.45882352941176469</v>
      </c>
    </row>
    <row r="150" spans="1:13" s="142" customFormat="1" ht="34.5" customHeight="1" x14ac:dyDescent="0.25">
      <c r="A150" s="16">
        <v>316</v>
      </c>
      <c r="B150" s="16"/>
      <c r="C150" s="16"/>
      <c r="D150" s="187"/>
      <c r="E150" s="12"/>
      <c r="F150" s="5" t="s">
        <v>1134</v>
      </c>
      <c r="G150" s="6"/>
      <c r="H150" s="10"/>
      <c r="I150" s="223">
        <f>SUM(I151:I190)</f>
        <v>12041207464.6</v>
      </c>
      <c r="J150" s="223">
        <f>SUM(J151:J190)</f>
        <v>10060741494.189999</v>
      </c>
      <c r="K150" s="168">
        <f t="shared" si="10"/>
        <v>0.83552596562824932</v>
      </c>
      <c r="L150" s="223">
        <f>SUM(L151:L190)</f>
        <v>9561385867.4799995</v>
      </c>
      <c r="M150" s="168">
        <f t="shared" si="11"/>
        <v>0.79405540479138492</v>
      </c>
    </row>
    <row r="151" spans="1:13" s="142" customFormat="1" ht="60" customHeight="1" x14ac:dyDescent="0.25">
      <c r="A151" s="108">
        <v>316</v>
      </c>
      <c r="B151" s="108">
        <f>'SGTO POAI 2024 ARMONIZADO'!E251</f>
        <v>1</v>
      </c>
      <c r="C151" s="109" t="str">
        <f>'SGTO POAI 2024 ARMONIZADO'!F251</f>
        <v>Social, Inclusiva y Participativa. "En el Quindío todos caben y nadie se quedan atrás".</v>
      </c>
      <c r="D151" s="108">
        <f>'SGTO POAI 2024 ARMONIZADO'!I251</f>
        <v>1905</v>
      </c>
      <c r="E151" s="114" t="str">
        <f>'SGTO POAI 2024 ARMONIZADO'!J251</f>
        <v xml:space="preserve">Salud pública </v>
      </c>
      <c r="F151" s="108">
        <f>F149+1</f>
        <v>135</v>
      </c>
      <c r="G151" s="108">
        <f>'SGTO POAI 2024 ARMONIZADO'!R251</f>
        <v>2020003630011</v>
      </c>
      <c r="H151" s="112" t="str">
        <f>'SGTO POAI 2024 ARMONIZADO'!S251</f>
        <v xml:space="preserve">Diseño e implementación de campañas para la promoción de la vida y prevención del consumo de sustancias psicoactivas en el Departamento del Quindío. "TU Y YO UNIDOS POR LA VIDA".  </v>
      </c>
      <c r="I151" s="224">
        <f>SUM('SGTO POAI 2024 ARMONIZADO'!AU251:AU252)</f>
        <v>105887500</v>
      </c>
      <c r="J151" s="224">
        <f>SUM('SGTO POAI 2024 ARMONIZADO'!AV251:AV252)</f>
        <v>105887500</v>
      </c>
      <c r="K151" s="167">
        <f t="shared" si="10"/>
        <v>1</v>
      </c>
      <c r="L151" s="224">
        <f>SUM('SGTO POAI 2024 ARMONIZADO'!AW251:AW252)</f>
        <v>105887500</v>
      </c>
      <c r="M151" s="166">
        <f t="shared" si="11"/>
        <v>1</v>
      </c>
    </row>
    <row r="152" spans="1:13" s="142" customFormat="1" ht="50.25" customHeight="1" x14ac:dyDescent="0.25">
      <c r="A152" s="108">
        <v>316</v>
      </c>
      <c r="B152" s="108">
        <v>1</v>
      </c>
      <c r="C152" s="109" t="s">
        <v>112</v>
      </c>
      <c r="D152" s="108">
        <f>'SGTO POAI 2024 ARMONIZADO'!I253</f>
        <v>1905</v>
      </c>
      <c r="E152" s="114" t="str">
        <f>'SGTO POAI 2024 ARMONIZADO'!J253</f>
        <v>Salud Pública</v>
      </c>
      <c r="F152" s="108">
        <f t="shared" ref="F152:F190" si="13">F151+1</f>
        <v>136</v>
      </c>
      <c r="G152" s="108">
        <f>'SGTO POAI 2024 ARMONIZADO'!R253</f>
        <v>2024003630087</v>
      </c>
      <c r="H152" s="112" t="str">
        <f>'SGTO POAI 2024 ARMONIZADO'!S253</f>
        <v>Diseño de estrategías para la promoción de la vida y prevención del consumo de sustancias psicoactivas en el Departamento del Quindío.</v>
      </c>
      <c r="I152" s="224">
        <f>SUM('SGTO POAI 2024 ARMONIZADO'!AU253:AU254)</f>
        <v>66818000</v>
      </c>
      <c r="J152" s="224">
        <f>SUM('SGTO POAI 2024 ARMONIZADO'!AV253:AV254)</f>
        <v>62323333</v>
      </c>
      <c r="K152" s="167">
        <f t="shared" si="10"/>
        <v>0.93273269178963747</v>
      </c>
      <c r="L152" s="224">
        <f>SUM('SGTO POAI 2024 ARMONIZADO'!AW253:AW254)</f>
        <v>39700000</v>
      </c>
      <c r="M152" s="166">
        <f t="shared" si="11"/>
        <v>0.5941512766021132</v>
      </c>
    </row>
    <row r="153" spans="1:13" s="142" customFormat="1" ht="57" customHeight="1" x14ac:dyDescent="0.25">
      <c r="A153" s="108">
        <v>316</v>
      </c>
      <c r="B153" s="108">
        <v>1</v>
      </c>
      <c r="C153" s="109" t="s">
        <v>112</v>
      </c>
      <c r="D153" s="108">
        <f>'SGTO POAI 2024 ARMONIZADO'!I255</f>
        <v>4102</v>
      </c>
      <c r="E153" s="114" t="str">
        <f>'SGTO POAI 2024 ARMONIZADO'!J255</f>
        <v>Desarrollo integral de la primera infancia a la juventud, y fortalecimiento de las capacidades de las familias de niñas, niños y adolescentes</v>
      </c>
      <c r="F153" s="108">
        <f t="shared" si="13"/>
        <v>137</v>
      </c>
      <c r="G153" s="108">
        <f>'SGTO POAI 2024 ARMONIZADO'!R255</f>
        <v>2020003630100</v>
      </c>
      <c r="H153" s="112" t="str">
        <f>'SGTO POAI 2024 ARMONIZADO'!S255</f>
        <v xml:space="preserve"> Implementación de la  política pública  de Familia para la  promoción  del desarrollo integral de la población del Departamento del Quindío. </v>
      </c>
      <c r="I153" s="224">
        <f>SUM('SGTO POAI 2024 ARMONIZADO'!AU255)</f>
        <v>114144500</v>
      </c>
      <c r="J153" s="224">
        <f>SUM('SGTO POAI 2024 ARMONIZADO'!AV255)</f>
        <v>114144500</v>
      </c>
      <c r="K153" s="167">
        <f t="shared" si="10"/>
        <v>1</v>
      </c>
      <c r="L153" s="224">
        <f>SUM('SGTO POAI 2024 ARMONIZADO'!AW255)</f>
        <v>114144500</v>
      </c>
      <c r="M153" s="166">
        <f t="shared" si="11"/>
        <v>1</v>
      </c>
    </row>
    <row r="154" spans="1:13" s="142" customFormat="1" ht="52.5" customHeight="1" x14ac:dyDescent="0.25">
      <c r="A154" s="108">
        <v>316</v>
      </c>
      <c r="B154" s="108">
        <v>1</v>
      </c>
      <c r="C154" s="109" t="s">
        <v>112</v>
      </c>
      <c r="D154" s="108">
        <f>'SGTO POAI 2024 ARMONIZADO'!I256</f>
        <v>4102</v>
      </c>
      <c r="E154" s="114" t="str">
        <f>'SGTO POAI 2024 ARMONIZADO'!J256</f>
        <v>Desarrollo integral de la primera infancia a la juventud, y fortalecimiento de las capacidades de las familias de niñas, niños y adolescentes</v>
      </c>
      <c r="F154" s="108">
        <f t="shared" si="13"/>
        <v>138</v>
      </c>
      <c r="G154" s="108">
        <f>'SGTO POAI 2024 ARMONIZADO'!R256</f>
        <v>2020003630101</v>
      </c>
      <c r="H154" s="112" t="str">
        <f>'SGTO POAI 2024 ARMONIZADO'!S256</f>
        <v xml:space="preserve">Revisión, ajuste  e implementación de  la política pública de primera infancia, infancia y adolescencia en el Departamento del Quindío  </v>
      </c>
      <c r="I154" s="224">
        <f>SUM('SGTO POAI 2024 ARMONIZADO'!AU256)</f>
        <v>289229500</v>
      </c>
      <c r="J154" s="224">
        <f>SUM('SGTO POAI 2024 ARMONIZADO'!AV256)</f>
        <v>289229500</v>
      </c>
      <c r="K154" s="167">
        <f t="shared" si="10"/>
        <v>1</v>
      </c>
      <c r="L154" s="224">
        <f>SUM('SGTO POAI 2024 ARMONIZADO'!AW256)</f>
        <v>287450499.96000004</v>
      </c>
      <c r="M154" s="166">
        <f t="shared" si="11"/>
        <v>0.99384917499770953</v>
      </c>
    </row>
    <row r="155" spans="1:13" s="142" customFormat="1" ht="37.5" customHeight="1" x14ac:dyDescent="0.25">
      <c r="A155" s="108">
        <v>316</v>
      </c>
      <c r="B155" s="108">
        <v>1</v>
      </c>
      <c r="C155" s="109" t="s">
        <v>112</v>
      </c>
      <c r="D155" s="108">
        <f>'SGTO POAI 2024 ARMONIZADO'!I257</f>
        <v>4102</v>
      </c>
      <c r="E155" s="114" t="str">
        <f>'SGTO POAI 2024 ARMONIZADO'!J257</f>
        <v>Desarrollo integral de la primera infancia a la juventud, y fortalecimiento de las capacidades de las familias de niñas, niños y adolescentes</v>
      </c>
      <c r="F155" s="108">
        <f t="shared" si="13"/>
        <v>139</v>
      </c>
      <c r="G155" s="108">
        <f>'SGTO POAI 2024 ARMONIZADO'!R257</f>
        <v>2020003630102</v>
      </c>
      <c r="H155" s="112" t="str">
        <f>'SGTO POAI 2024 ARMONIZADO'!S257</f>
        <v xml:space="preserve">Implementación de  la política pública de juventud en el Departamento del Quindío  </v>
      </c>
      <c r="I155" s="224">
        <f>SUM('SGTO POAI 2024 ARMONIZADO'!AU257)</f>
        <v>174235500</v>
      </c>
      <c r="J155" s="224">
        <f>SUM('SGTO POAI 2024 ARMONIZADO'!AV257)</f>
        <v>174235500</v>
      </c>
      <c r="K155" s="167">
        <f t="shared" si="10"/>
        <v>1</v>
      </c>
      <c r="L155" s="224">
        <f>SUM('SGTO POAI 2024 ARMONIZADO'!AW257)</f>
        <v>167970497.99000001</v>
      </c>
      <c r="M155" s="166">
        <f t="shared" si="11"/>
        <v>0.9640429073868414</v>
      </c>
    </row>
    <row r="156" spans="1:13" s="142" customFormat="1" ht="75.75" customHeight="1" x14ac:dyDescent="0.25">
      <c r="A156" s="108">
        <v>316</v>
      </c>
      <c r="B156" s="108">
        <v>1</v>
      </c>
      <c r="C156" s="109" t="s">
        <v>112</v>
      </c>
      <c r="D156" s="108">
        <f>'SGTO POAI 2024 ARMONIZADO'!I258</f>
        <v>4102</v>
      </c>
      <c r="E156" s="114" t="str">
        <f>'SGTO POAI 2024 ARMONIZADO'!J258</f>
        <v>Desarrollo integral de la primera infancia a la juventud, y fortalecimiento de las capacidades de las familias de niñas, niños y adolescentes</v>
      </c>
      <c r="F156" s="108">
        <f t="shared" si="13"/>
        <v>140</v>
      </c>
      <c r="G156" s="108">
        <f>'SGTO POAI 2024 ARMONIZADO'!R258</f>
        <v>2021003630010</v>
      </c>
      <c r="H156" s="112" t="str">
        <f>'SGTO POAI 2024 ARMONIZADO'!S258</f>
        <v xml:space="preserve">Diseño e implementación del programa de acompañamiento familiar y comunitario con enfoque preventivo en los tipos de violencia en el Departamento del Quindío "TU Y YO COMPROMETIDOS CON LA FAMILIA" </v>
      </c>
      <c r="I156" s="224">
        <f>SUM('SGTO POAI 2024 ARMONIZADO'!AU258)</f>
        <v>31500000</v>
      </c>
      <c r="J156" s="224">
        <f>SUM('SGTO POAI 2024 ARMONIZADO'!AV258)</f>
        <v>31500000</v>
      </c>
      <c r="K156" s="167">
        <f t="shared" si="10"/>
        <v>1</v>
      </c>
      <c r="L156" s="224">
        <f>SUM('SGTO POAI 2024 ARMONIZADO'!AW258)</f>
        <v>31500000</v>
      </c>
      <c r="M156" s="166">
        <f t="shared" si="11"/>
        <v>1</v>
      </c>
    </row>
    <row r="157" spans="1:13" s="142" customFormat="1" ht="65.25" customHeight="1" x14ac:dyDescent="0.25">
      <c r="A157" s="108">
        <v>316</v>
      </c>
      <c r="B157" s="108">
        <v>1</v>
      </c>
      <c r="C157" s="109" t="s">
        <v>112</v>
      </c>
      <c r="D157" s="108" t="str">
        <f>'SGTO POAI 2024 ARMONIZADO'!I259</f>
        <v>4102</v>
      </c>
      <c r="E157" s="114" t="str">
        <f>'SGTO POAI 2024 ARMONIZADO'!J259</f>
        <v xml:space="preserve">Desarrollo integral de la primera infancia a la juventud, y fortalecimiento de las capacidades de las familias de niñas, niños y adolescentes </v>
      </c>
      <c r="F157" s="108">
        <f t="shared" si="13"/>
        <v>141</v>
      </c>
      <c r="G157" s="108">
        <f>'SGTO POAI 2024 ARMONIZADO'!R259</f>
        <v>2024003630044</v>
      </c>
      <c r="H157" s="112" t="str">
        <f>'SGTO POAI 2024 ARMONIZADO'!S259</f>
        <v>Implementación de la Política Pública para la protección, el fortalecimiento y desarrollo integral de la Familia Quindiana  2019-2029, en el departamento del Quindío</v>
      </c>
      <c r="I157" s="224">
        <f>SUM('SGTO POAI 2024 ARMONIZADO'!AU259:AU260)</f>
        <v>146390500</v>
      </c>
      <c r="J157" s="224">
        <f>SUM('SGTO POAI 2024 ARMONIZADO'!AV259:AV260)</f>
        <v>137580001</v>
      </c>
      <c r="K157" s="167">
        <f t="shared" si="10"/>
        <v>0.93981509046010503</v>
      </c>
      <c r="L157" s="224">
        <f>SUM('SGTO POAI 2024 ARMONIZADO'!AW259:AW260)</f>
        <v>79356433</v>
      </c>
      <c r="M157" s="166">
        <f t="shared" si="11"/>
        <v>0.54208731440906344</v>
      </c>
    </row>
    <row r="158" spans="1:13" s="142" customFormat="1" ht="64.5" customHeight="1" x14ac:dyDescent="0.25">
      <c r="A158" s="108">
        <v>316</v>
      </c>
      <c r="B158" s="108">
        <v>1</v>
      </c>
      <c r="C158" s="109" t="s">
        <v>112</v>
      </c>
      <c r="D158" s="108" t="str">
        <f>'SGTO POAI 2024 ARMONIZADO'!I261</f>
        <v>4102</v>
      </c>
      <c r="E158" s="114" t="str">
        <f>'SGTO POAI 2024 ARMONIZADO'!J261</f>
        <v>Desarrollo integral de la primera infancia a la juventud, y fortalecimiento de las capacidades de las familias de niñas, niños y adolescentes</v>
      </c>
      <c r="F158" s="108">
        <f t="shared" si="13"/>
        <v>142</v>
      </c>
      <c r="G158" s="108">
        <f>'SGTO POAI 2024 ARMONIZADO'!R261</f>
        <v>2024003630106</v>
      </c>
      <c r="H158" s="112" t="str">
        <f>'SGTO POAI 2024 ARMONIZADO'!S261</f>
        <v xml:space="preserve">
Fortalecimiento del desarrollo integral  de los niños niñas, adolescentes y familias para la garantía, atención y promoción de sus derechos en el departamento del Quindío</v>
      </c>
      <c r="I158" s="224">
        <f>SUM('SGTO POAI 2024 ARMONIZADO'!AU261:AU264)</f>
        <v>1030270500</v>
      </c>
      <c r="J158" s="224">
        <f>SUM('SGTO POAI 2024 ARMONIZADO'!AV261:AV264)</f>
        <v>251141103</v>
      </c>
      <c r="K158" s="167">
        <f t="shared" si="10"/>
        <v>0.24376229640662331</v>
      </c>
      <c r="L158" s="224">
        <f>SUM('SGTO POAI 2024 ARMONIZADO'!AW261:AW264)</f>
        <v>105300000</v>
      </c>
      <c r="M158" s="166">
        <f t="shared" si="11"/>
        <v>0.10220616818592787</v>
      </c>
    </row>
    <row r="159" spans="1:13" s="142" customFormat="1" ht="76.5" customHeight="1" x14ac:dyDescent="0.25">
      <c r="A159" s="108">
        <v>316</v>
      </c>
      <c r="B159" s="108">
        <v>1</v>
      </c>
      <c r="C159" s="109" t="s">
        <v>112</v>
      </c>
      <c r="D159" s="108">
        <f>'SGTO POAI 2024 ARMONIZADO'!I265</f>
        <v>4102</v>
      </c>
      <c r="E159" s="114" t="str">
        <f>'SGTO POAI 2024 ARMONIZADO'!J265</f>
        <v>Desarrollo integral de la primera infancia a la juventud, y fortalecimiento de las capacidades de las familias de niñas, niños y adolescentes</v>
      </c>
      <c r="F159" s="108">
        <f t="shared" si="13"/>
        <v>143</v>
      </c>
      <c r="G159" s="108">
        <f>'SGTO POAI 2024 ARMONIZADO'!R265</f>
        <v>2020003630034</v>
      </c>
      <c r="H159" s="112" t="str">
        <f>'SGTO POAI 2024 ARMONIZADO'!S265</f>
        <v>Servicio de atención Post egreso de adolescentes y jóvenes, en los servicios de restablecimiento en la administración de justicia, con enfoque pedagógico y restaurativo encaminados a la inclusión social en el  Departamento del   Quindío.</v>
      </c>
      <c r="I159" s="224">
        <f>SUM('SGTO POAI 2024 ARMONIZADO'!AU265)</f>
        <v>39500000</v>
      </c>
      <c r="J159" s="224">
        <f>SUM('SGTO POAI 2024 ARMONIZADO'!AV265)</f>
        <v>39500000</v>
      </c>
      <c r="K159" s="167">
        <f t="shared" si="10"/>
        <v>1</v>
      </c>
      <c r="L159" s="224">
        <f>SUM('SGTO POAI 2024 ARMONIZADO'!AW265)</f>
        <v>39500000</v>
      </c>
      <c r="M159" s="166">
        <f t="shared" si="11"/>
        <v>1</v>
      </c>
    </row>
    <row r="160" spans="1:13" s="142" customFormat="1" ht="72" customHeight="1" x14ac:dyDescent="0.25">
      <c r="A160" s="108">
        <v>316</v>
      </c>
      <c r="B160" s="108">
        <v>1</v>
      </c>
      <c r="C160" s="109" t="s">
        <v>112</v>
      </c>
      <c r="D160" s="108" t="str">
        <f>'SGTO POAI 2024 ARMONIZADO'!I266</f>
        <v>4102</v>
      </c>
      <c r="E160" s="114" t="str">
        <f>'SGTO POAI 2024 ARMONIZADO'!J266</f>
        <v>Desarrollo integral de la primera infancia a la juventud, y fortalecimiento de las capacidades de las familias de niñas, niños y adolescentes</v>
      </c>
      <c r="F160" s="108">
        <f t="shared" si="13"/>
        <v>144</v>
      </c>
      <c r="G160" s="108">
        <f>'SGTO POAI 2024 ARMONIZADO'!R266</f>
        <v>2024003630045</v>
      </c>
      <c r="H160" s="112" t="str">
        <f>'SGTO POAI 2024 ARMONIZADO'!S266</f>
        <v>Servicio con enfoque pedagógico y restaurativo dirigidos a la atención de niños, niñas, adolescentes y jóvenes vinculados al sistema de responsabilidad penal para adolescentes en el departamento del Quindío</v>
      </c>
      <c r="I160" s="224">
        <f>SUM('SGTO POAI 2024 ARMONIZADO'!AU266:AU267)</f>
        <v>30500000</v>
      </c>
      <c r="J160" s="224">
        <f>SUM('SGTO POAI 2024 ARMONIZADO'!AV266:AV267)</f>
        <v>30500000</v>
      </c>
      <c r="K160" s="167">
        <f t="shared" si="10"/>
        <v>1</v>
      </c>
      <c r="L160" s="224">
        <f>SUM('SGTO POAI 2024 ARMONIZADO'!AW266:AW267)</f>
        <v>18200000</v>
      </c>
      <c r="M160" s="166">
        <f t="shared" si="11"/>
        <v>0.59672131147540985</v>
      </c>
    </row>
    <row r="161" spans="1:13" s="142" customFormat="1" ht="46.5" customHeight="1" x14ac:dyDescent="0.25">
      <c r="A161" s="108">
        <v>316</v>
      </c>
      <c r="B161" s="108">
        <v>1</v>
      </c>
      <c r="C161" s="109" t="s">
        <v>112</v>
      </c>
      <c r="D161" s="108">
        <f>'SGTO POAI 2024 ARMONIZADO'!I268</f>
        <v>4103</v>
      </c>
      <c r="E161" s="114" t="str">
        <f>'SGTO POAI 2024 ARMONIZADO'!J268</f>
        <v xml:space="preserve">Inclusión social y productiva para la población en situación de vulnerabilidad </v>
      </c>
      <c r="F161" s="108">
        <f t="shared" si="13"/>
        <v>145</v>
      </c>
      <c r="G161" s="108">
        <f>'SGTO POAI 2024 ARMONIZADO'!R268</f>
        <v>2020003630103</v>
      </c>
      <c r="H161" s="112" t="str">
        <f>'SGTO POAI 2024 ARMONIZADO'!S268</f>
        <v xml:space="preserve">Fortalecimiento  de unidades productivas colectivas  juveniles para la generación de ingresos  en el departamento del Quindío  </v>
      </c>
      <c r="I161" s="224">
        <f>SUM('SGTO POAI 2024 ARMONIZADO'!AU268)</f>
        <v>28400000</v>
      </c>
      <c r="J161" s="224">
        <f>SUM('SGTO POAI 2024 ARMONIZADO'!AV268)</f>
        <v>28400000</v>
      </c>
      <c r="K161" s="167">
        <f t="shared" si="10"/>
        <v>1</v>
      </c>
      <c r="L161" s="224">
        <f>SUM('SGTO POAI 2024 ARMONIZADO'!AW268)</f>
        <v>28400000</v>
      </c>
      <c r="M161" s="166">
        <f t="shared" si="11"/>
        <v>1</v>
      </c>
    </row>
    <row r="162" spans="1:13" s="142" customFormat="1" ht="45.75" customHeight="1" x14ac:dyDescent="0.25">
      <c r="A162" s="108">
        <v>316</v>
      </c>
      <c r="B162" s="108">
        <v>1</v>
      </c>
      <c r="C162" s="109" t="s">
        <v>112</v>
      </c>
      <c r="D162" s="108">
        <f>'SGTO POAI 2024 ARMONIZADO'!I269</f>
        <v>4103</v>
      </c>
      <c r="E162" s="114" t="str">
        <f>'SGTO POAI 2024 ARMONIZADO'!J269</f>
        <v xml:space="preserve">Inclusión social y productiva para la población en situación de vulnerabilidad </v>
      </c>
      <c r="F162" s="108">
        <f t="shared" si="13"/>
        <v>146</v>
      </c>
      <c r="G162" s="108">
        <f>'SGTO POAI 2024 ARMONIZADO'!R269</f>
        <v>2020003630104</v>
      </c>
      <c r="H162" s="112" t="str">
        <f>'SGTO POAI 2024 ARMONIZADO'!S269</f>
        <v xml:space="preserve">Formulación  e Implementación del  programa departamental para atención al ciudadano migrante y de repatriación.  </v>
      </c>
      <c r="I162" s="224">
        <f>SUM('SGTO POAI 2024 ARMONIZADO'!AU269)</f>
        <v>45825000</v>
      </c>
      <c r="J162" s="224">
        <f>SUM('SGTO POAI 2024 ARMONIZADO'!AV269)</f>
        <v>45825000</v>
      </c>
      <c r="K162" s="167">
        <f t="shared" si="10"/>
        <v>1</v>
      </c>
      <c r="L162" s="224">
        <f>SUM('SGTO POAI 2024 ARMONIZADO'!AW269)</f>
        <v>45825000</v>
      </c>
      <c r="M162" s="166">
        <f t="shared" si="11"/>
        <v>1</v>
      </c>
    </row>
    <row r="163" spans="1:13" s="142" customFormat="1" ht="49.5" customHeight="1" x14ac:dyDescent="0.25">
      <c r="A163" s="108">
        <v>316</v>
      </c>
      <c r="B163" s="108">
        <v>1</v>
      </c>
      <c r="C163" s="109" t="s">
        <v>112</v>
      </c>
      <c r="D163" s="108" t="str">
        <f>'SGTO POAI 2024 ARMONIZADO'!I270</f>
        <v>4103</v>
      </c>
      <c r="E163" s="114" t="str">
        <f>'SGTO POAI 2024 ARMONIZADO'!J270</f>
        <v>Inclusión social y productiva para la población en situación de vulnerabilidad</v>
      </c>
      <c r="F163" s="108">
        <f t="shared" si="13"/>
        <v>147</v>
      </c>
      <c r="G163" s="108">
        <f>'SGTO POAI 2024 ARMONIZADO'!R270</f>
        <v>2024003630053</v>
      </c>
      <c r="H163" s="112" t="str">
        <f>'SGTO POAI 2024 ARMONIZADO'!S270</f>
        <v>Fortalecimiento a la garantía de derechos de la población migrante, refugiada y colombianos retornados en el departamento del Quindío</v>
      </c>
      <c r="I163" s="224">
        <f>SUM('SGTO POAI 2024 ARMONIZADO'!AU270)</f>
        <v>36000000</v>
      </c>
      <c r="J163" s="224">
        <f>SUM('SGTO POAI 2024 ARMONIZADO'!AV270)</f>
        <v>35150000</v>
      </c>
      <c r="K163" s="167">
        <f t="shared" si="10"/>
        <v>0.97638888888888886</v>
      </c>
      <c r="L163" s="224">
        <f>SUM('SGTO POAI 2024 ARMONIZADO'!AW270)</f>
        <v>25900000</v>
      </c>
      <c r="M163" s="166">
        <f t="shared" si="11"/>
        <v>0.71944444444444444</v>
      </c>
    </row>
    <row r="164" spans="1:13" s="142" customFormat="1" ht="71.25" customHeight="1" x14ac:dyDescent="0.25">
      <c r="A164" s="108">
        <v>316</v>
      </c>
      <c r="B164" s="108">
        <v>1</v>
      </c>
      <c r="C164" s="109" t="s">
        <v>112</v>
      </c>
      <c r="D164" s="108">
        <f>'SGTO POAI 2024 ARMONIZADO'!I271</f>
        <v>4103</v>
      </c>
      <c r="E164" s="114" t="str">
        <f>'SGTO POAI 2024 ARMONIZADO'!J271</f>
        <v xml:space="preserve">Inclusión social y productiva para la población en situación de vulnerabilidad </v>
      </c>
      <c r="F164" s="108">
        <f t="shared" si="13"/>
        <v>148</v>
      </c>
      <c r="G164" s="108">
        <f>'SGTO POAI 2024 ARMONIZADO'!R271</f>
        <v>2020003630105</v>
      </c>
      <c r="H164" s="112" t="str">
        <f>'SGTO POAI 2024 ARMONIZADO'!S271</f>
        <v xml:space="preserve">Desarrollo de un  programa  de acompañamiento  familiar y comunitario  en procesos de Inclusión social y productivos para el emprendimiento de  alternativas de generación de ingresos  en el departamento del Quindío  </v>
      </c>
      <c r="I164" s="224">
        <f>SUM('SGTO POAI 2024 ARMONIZADO'!AU271)</f>
        <v>41650000</v>
      </c>
      <c r="J164" s="224">
        <f>SUM('SGTO POAI 2024 ARMONIZADO'!AV271)</f>
        <v>41650000</v>
      </c>
      <c r="K164" s="167">
        <f t="shared" si="10"/>
        <v>1</v>
      </c>
      <c r="L164" s="224">
        <f>SUM('SGTO POAI 2024 ARMONIZADO'!AW271)</f>
        <v>41650000</v>
      </c>
      <c r="M164" s="166">
        <f t="shared" si="11"/>
        <v>1</v>
      </c>
    </row>
    <row r="165" spans="1:13" s="142" customFormat="1" ht="60" customHeight="1" x14ac:dyDescent="0.25">
      <c r="A165" s="108">
        <v>316</v>
      </c>
      <c r="B165" s="108">
        <v>1</v>
      </c>
      <c r="C165" s="109" t="s">
        <v>112</v>
      </c>
      <c r="D165" s="108" t="str">
        <f>'SGTO POAI 2024 ARMONIZADO'!I272</f>
        <v>4103</v>
      </c>
      <c r="E165" s="114" t="str">
        <f>'SGTO POAI 2024 ARMONIZADO'!J272</f>
        <v>Inclusión social y productiva para la población en situación de vulnerabilidad</v>
      </c>
      <c r="F165" s="108">
        <f t="shared" si="13"/>
        <v>149</v>
      </c>
      <c r="G165" s="108">
        <f>'SGTO POAI 2024 ARMONIZADO'!R272</f>
        <v>2024003630092</v>
      </c>
      <c r="H165" s="112" t="str">
        <f>'SGTO POAI 2024 ARMONIZADO'!S272</f>
        <v>Fortalecimiento de unidades productivas individuales y familiares de población vulnerable para la inclusión social y productiva en el departamento del Quindío.</v>
      </c>
      <c r="I165" s="224">
        <f>SUM('SGTO POAI 2024 ARMONIZADO'!AU272:AU274)</f>
        <v>60000000</v>
      </c>
      <c r="J165" s="224">
        <f>SUM('SGTO POAI 2024 ARMONIZADO'!AV272:AV274)</f>
        <v>50763333</v>
      </c>
      <c r="K165" s="167">
        <f t="shared" si="10"/>
        <v>0.84605554999999999</v>
      </c>
      <c r="L165" s="224">
        <f>SUM('SGTO POAI 2024 ARMONIZADO'!AW272:AW274)</f>
        <v>35100000</v>
      </c>
      <c r="M165" s="166">
        <f t="shared" si="11"/>
        <v>0.58499999999999996</v>
      </c>
    </row>
    <row r="166" spans="1:13" s="142" customFormat="1" ht="60" customHeight="1" x14ac:dyDescent="0.25">
      <c r="A166" s="108">
        <v>316</v>
      </c>
      <c r="B166" s="108">
        <v>1</v>
      </c>
      <c r="C166" s="109" t="s">
        <v>112</v>
      </c>
      <c r="D166" s="108">
        <f>'SGTO POAI 2024 ARMONIZADO'!I275</f>
        <v>4103</v>
      </c>
      <c r="E166" s="114" t="str">
        <f>'SGTO POAI 2024 ARMONIZADO'!J275</f>
        <v xml:space="preserve">Inclusión social y productiva para la población en situación de vulnerabilidad </v>
      </c>
      <c r="F166" s="108">
        <f t="shared" si="13"/>
        <v>150</v>
      </c>
      <c r="G166" s="108">
        <f>'SGTO POAI 2024 ARMONIZADO'!R275</f>
        <v>2020003630106</v>
      </c>
      <c r="H166" s="112" t="str">
        <f>'SGTO POAI 2024 ARMONIZADO'!S275</f>
        <v xml:space="preserve">Formulación e implementación   de proyectos productivos  dirigidos a  la población en condición  de  discapacidad y sus familias para la generación de  ingresos  y fortalecimiento del entorno familiar.  </v>
      </c>
      <c r="I166" s="224">
        <f>SUM('SGTO POAI 2024 ARMONIZADO'!AU275)</f>
        <v>21800000</v>
      </c>
      <c r="J166" s="224">
        <f>SUM('SGTO POAI 2024 ARMONIZADO'!AV275)</f>
        <v>21800000</v>
      </c>
      <c r="K166" s="167">
        <f t="shared" si="10"/>
        <v>1</v>
      </c>
      <c r="L166" s="224">
        <f>SUM('SGTO POAI 2024 ARMONIZADO'!AW275)</f>
        <v>16800000</v>
      </c>
      <c r="M166" s="166">
        <f t="shared" si="11"/>
        <v>0.77064220183486243</v>
      </c>
    </row>
    <row r="167" spans="1:13" s="142" customFormat="1" ht="60" customHeight="1" x14ac:dyDescent="0.25">
      <c r="A167" s="108">
        <v>316</v>
      </c>
      <c r="B167" s="108">
        <v>1</v>
      </c>
      <c r="C167" s="109" t="s">
        <v>112</v>
      </c>
      <c r="D167" s="108">
        <f>'SGTO POAI 2024 ARMONIZADO'!I276</f>
        <v>4103</v>
      </c>
      <c r="E167" s="114" t="str">
        <f>'SGTO POAI 2024 ARMONIZADO'!J276</f>
        <v xml:space="preserve">Inclusión social y productiva para la población en situación de vulnerabilidad </v>
      </c>
      <c r="F167" s="108">
        <f t="shared" si="13"/>
        <v>151</v>
      </c>
      <c r="G167" s="108">
        <f>'SGTO POAI 2024 ARMONIZADO'!R276</f>
        <v>2020003630036</v>
      </c>
      <c r="H167" s="112" t="str">
        <f>'SGTO POAI 2024 ARMONIZADO'!S276</f>
        <v xml:space="preserve">Apoyo en la construcción e Implementación de los Planes de Vida de los Cabildos y Resguardos indígenas  asentados en el Departamento del Quindío "TU Y YO UNIDOS CON DIGNIDAD".  </v>
      </c>
      <c r="I167" s="224">
        <f>SUM('SGTO POAI 2024 ARMONIZADO'!AU276:AU277)</f>
        <v>10000000</v>
      </c>
      <c r="J167" s="224">
        <f>SUM('SGTO POAI 2024 ARMONIZADO'!AV276:AV277)</f>
        <v>10000000</v>
      </c>
      <c r="K167" s="167">
        <f t="shared" si="10"/>
        <v>1</v>
      </c>
      <c r="L167" s="224">
        <f>SUM('SGTO POAI 2024 ARMONIZADO'!AW276:AW277)</f>
        <v>10000000</v>
      </c>
      <c r="M167" s="166">
        <f t="shared" si="11"/>
        <v>1</v>
      </c>
    </row>
    <row r="168" spans="1:13" s="142" customFormat="1" ht="49.5" customHeight="1" x14ac:dyDescent="0.25">
      <c r="A168" s="108">
        <v>316</v>
      </c>
      <c r="B168" s="108">
        <v>1</v>
      </c>
      <c r="C168" s="109" t="s">
        <v>112</v>
      </c>
      <c r="D168" s="108" t="str">
        <f>'SGTO POAI 2024 ARMONIZADO'!I278</f>
        <v>4103</v>
      </c>
      <c r="E168" s="114" t="str">
        <f>'SGTO POAI 2024 ARMONIZADO'!J278</f>
        <v>Inclusión social y productiva para la población en situación de vulnerabilidad</v>
      </c>
      <c r="F168" s="108">
        <f t="shared" si="13"/>
        <v>152</v>
      </c>
      <c r="G168" s="108">
        <f>'SGTO POAI 2024 ARMONIZADO'!R278</f>
        <v>2024003630064</v>
      </c>
      <c r="H168" s="112" t="str">
        <f>'SGTO POAI 2024 ARMONIZADO'!S278</f>
        <v xml:space="preserve">Fortalecimiento a las comunidades indigenas en la elaboración, formulación y/o actualización de los planes de vida en el departamento del Quindío </v>
      </c>
      <c r="I168" s="224">
        <f>SUM('SGTO POAI 2024 ARMONIZADO'!AU278)</f>
        <v>130000000</v>
      </c>
      <c r="J168" s="224">
        <f>SUM('SGTO POAI 2024 ARMONIZADO'!AV278)</f>
        <v>130000000</v>
      </c>
      <c r="K168" s="167">
        <f t="shared" si="10"/>
        <v>1</v>
      </c>
      <c r="L168" s="224">
        <f>SUM('SGTO POAI 2024 ARMONIZADO'!AW278)</f>
        <v>130000000</v>
      </c>
      <c r="M168" s="166">
        <f t="shared" si="11"/>
        <v>1</v>
      </c>
    </row>
    <row r="169" spans="1:13" s="142" customFormat="1" ht="60" customHeight="1" x14ac:dyDescent="0.25">
      <c r="A169" s="108">
        <v>316</v>
      </c>
      <c r="B169" s="108">
        <v>1</v>
      </c>
      <c r="C169" s="109" t="s">
        <v>112</v>
      </c>
      <c r="D169" s="108">
        <f>'SGTO POAI 2024 ARMONIZADO'!I279</f>
        <v>4103</v>
      </c>
      <c r="E169" s="114" t="str">
        <f>'SGTO POAI 2024 ARMONIZADO'!J279</f>
        <v xml:space="preserve">Inclusión social y productiva para la población en situación de vulnerabilidad </v>
      </c>
      <c r="F169" s="108">
        <f t="shared" si="13"/>
        <v>153</v>
      </c>
      <c r="G169" s="108">
        <f>'SGTO POAI 2024 ARMONIZADO'!R279</f>
        <v>2020003630037</v>
      </c>
      <c r="H169" s="112" t="str">
        <f>'SGTO POAI 2024 ARMONIZADO'!S279</f>
        <v xml:space="preserve">Formulación e implementación de la política pública para la comunidad negra, afrocolombiana, raizal y palenquera residente en el Departamento del Quindío   </v>
      </c>
      <c r="I169" s="224">
        <f>SUM('SGTO POAI 2024 ARMONIZADO'!AU279)</f>
        <v>37592000</v>
      </c>
      <c r="J169" s="224">
        <f>SUM('SGTO POAI 2024 ARMONIZADO'!AV279)</f>
        <v>37592000</v>
      </c>
      <c r="K169" s="167">
        <f t="shared" si="10"/>
        <v>1</v>
      </c>
      <c r="L169" s="224">
        <f>SUM('SGTO POAI 2024 ARMONIZADO'!AW279)</f>
        <v>34592000</v>
      </c>
      <c r="M169" s="166">
        <f t="shared" si="11"/>
        <v>0.92019578633751864</v>
      </c>
    </row>
    <row r="170" spans="1:13" s="142" customFormat="1" ht="60" customHeight="1" x14ac:dyDescent="0.25">
      <c r="A170" s="108">
        <v>316</v>
      </c>
      <c r="B170" s="108">
        <v>1</v>
      </c>
      <c r="C170" s="109" t="s">
        <v>112</v>
      </c>
      <c r="D170" s="108" t="str">
        <f>'SGTO POAI 2024 ARMONIZADO'!I280</f>
        <v>4103</v>
      </c>
      <c r="E170" s="114" t="str">
        <f>'SGTO POAI 2024 ARMONIZADO'!J280</f>
        <v>Inclusión social y productiva para la población en situación de vulnerabilidad</v>
      </c>
      <c r="F170" s="108">
        <f t="shared" si="13"/>
        <v>154</v>
      </c>
      <c r="G170" s="108">
        <f>'SGTO POAI 2024 ARMONIZADO'!R280</f>
        <v>2024003630071</v>
      </c>
      <c r="H170" s="112" t="str">
        <f>'SGTO POAI 2024 ARMONIZADO'!S280</f>
        <v>Implementación de la "Política Pública para las comunidades Negras, Afrocolombianas, Raizales y Palenqueras residentes en el departamento del Quindío 2020-2030"</v>
      </c>
      <c r="I170" s="224">
        <f>SUM('SGTO POAI 2024 ARMONIZADO'!AU280)</f>
        <v>94000000</v>
      </c>
      <c r="J170" s="224">
        <f>SUM('SGTO POAI 2024 ARMONIZADO'!AV280)</f>
        <v>16800000</v>
      </c>
      <c r="K170" s="167">
        <f t="shared" si="10"/>
        <v>0.17872340425531916</v>
      </c>
      <c r="L170" s="224">
        <f>SUM('SGTO POAI 2024 ARMONIZADO'!AW280)</f>
        <v>13100000</v>
      </c>
      <c r="M170" s="166">
        <f t="shared" si="11"/>
        <v>0.13936170212765958</v>
      </c>
    </row>
    <row r="171" spans="1:13" s="142" customFormat="1" ht="54" customHeight="1" x14ac:dyDescent="0.25">
      <c r="A171" s="108">
        <v>316</v>
      </c>
      <c r="B171" s="108">
        <v>1</v>
      </c>
      <c r="C171" s="109" t="s">
        <v>112</v>
      </c>
      <c r="D171" s="108">
        <f>'SGTO POAI 2024 ARMONIZADO'!I281</f>
        <v>4104</v>
      </c>
      <c r="E171" s="114" t="str">
        <f>'SGTO POAI 2024 ARMONIZADO'!J281</f>
        <v>Atención integral de población en situación permanente de desprotección social y/o familiar</v>
      </c>
      <c r="F171" s="108">
        <f t="shared" si="13"/>
        <v>155</v>
      </c>
      <c r="G171" s="108">
        <f>'SGTO POAI 2024 ARMONIZADO'!R281</f>
        <v>2020003630035</v>
      </c>
      <c r="H171" s="112" t="str">
        <f>'SGTO POAI 2024 ARMONIZADO'!S281</f>
        <v xml:space="preserve">Servicio de atención integral a población en condición de discapacidad en los municipios del Departamento del Quindío "TU Y YO JUNTOS EN LA INCLUSIÓN". </v>
      </c>
      <c r="I171" s="224">
        <f>SUM('SGTO POAI 2024 ARMONIZADO'!AU281:AU281)</f>
        <v>149519500</v>
      </c>
      <c r="J171" s="224">
        <f>SUM('SGTO POAI 2024 ARMONIZADO'!AV281:AV281)</f>
        <v>149519500</v>
      </c>
      <c r="K171" s="167">
        <f t="shared" si="10"/>
        <v>1</v>
      </c>
      <c r="L171" s="224">
        <f>SUM('SGTO POAI 2024 ARMONIZADO'!AW281:AW281)</f>
        <v>149519500</v>
      </c>
      <c r="M171" s="166">
        <f t="shared" si="11"/>
        <v>1</v>
      </c>
    </row>
    <row r="172" spans="1:13" s="142" customFormat="1" ht="40.5" customHeight="1" x14ac:dyDescent="0.25">
      <c r="A172" s="108">
        <v>316</v>
      </c>
      <c r="B172" s="108">
        <v>1</v>
      </c>
      <c r="C172" s="109" t="s">
        <v>112</v>
      </c>
      <c r="D172" s="108" t="str">
        <f>'SGTO POAI 2024 ARMONIZADO'!I282</f>
        <v>4104</v>
      </c>
      <c r="E172" s="114" t="str">
        <f>'SGTO POAI 2024 ARMONIZADO'!J282</f>
        <v>Atención integral de población en situación permanente de desprotección social y/o familiar</v>
      </c>
      <c r="F172" s="108">
        <f t="shared" si="13"/>
        <v>156</v>
      </c>
      <c r="G172" s="108">
        <f>'SGTO POAI 2024 ARMONIZADO'!R282</f>
        <v>2024003630048</v>
      </c>
      <c r="H172" s="112" t="str">
        <f>'SGTO POAI 2024 ARMONIZADO'!S282</f>
        <v>Servicios de atención integral a la población con discapacidad  en el departamento del Quindío.</v>
      </c>
      <c r="I172" s="224">
        <f>SUM('SGTO POAI 2024 ARMONIZADO'!AU282)</f>
        <v>270480500</v>
      </c>
      <c r="J172" s="224">
        <f>SUM('SGTO POAI 2024 ARMONIZADO'!AV282)</f>
        <v>100416667</v>
      </c>
      <c r="K172" s="167">
        <f t="shared" si="10"/>
        <v>0.37125288884041546</v>
      </c>
      <c r="L172" s="224">
        <f>SUM('SGTO POAI 2024 ARMONIZADO'!AW282)</f>
        <v>76480000</v>
      </c>
      <c r="M172" s="166">
        <f t="shared" si="11"/>
        <v>0.28275605820012906</v>
      </c>
    </row>
    <row r="173" spans="1:13" s="142" customFormat="1" ht="45" customHeight="1" x14ac:dyDescent="0.25">
      <c r="A173" s="108">
        <v>316</v>
      </c>
      <c r="B173" s="108">
        <v>1</v>
      </c>
      <c r="C173" s="109" t="s">
        <v>112</v>
      </c>
      <c r="D173" s="108">
        <f>'SGTO POAI 2024 ARMONIZADO'!I283</f>
        <v>4104</v>
      </c>
      <c r="E173" s="114" t="str">
        <f>'SGTO POAI 2024 ARMONIZADO'!J283</f>
        <v>Atención integral de población en situación permanente de desprotección social y/o familiar</v>
      </c>
      <c r="F173" s="108">
        <f t="shared" si="13"/>
        <v>157</v>
      </c>
      <c r="G173" s="108">
        <f>'SGTO POAI 2024 ARMONIZADO'!R283</f>
        <v>2020003630012</v>
      </c>
      <c r="H173" s="112" t="str">
        <f>'SGTO POAI 2024 ARMONIZADO'!S283</f>
        <v xml:space="preserve">Apoyo en  la articulación de la  oferta social para la población habitante de calle del departamento del Quindío  </v>
      </c>
      <c r="I173" s="224">
        <f>SUM('SGTO POAI 2024 ARMONIZADO'!AU283)</f>
        <v>145862500</v>
      </c>
      <c r="J173" s="224">
        <f>SUM('SGTO POAI 2024 ARMONIZADO'!AV283)</f>
        <v>145862500</v>
      </c>
      <c r="K173" s="167">
        <f t="shared" si="10"/>
        <v>1</v>
      </c>
      <c r="L173" s="224">
        <f>SUM('SGTO POAI 2024 ARMONIZADO'!AW283)</f>
        <v>145862500</v>
      </c>
      <c r="M173" s="166">
        <f t="shared" si="11"/>
        <v>1</v>
      </c>
    </row>
    <row r="174" spans="1:13" s="142" customFormat="1" ht="45.75" customHeight="1" x14ac:dyDescent="0.25">
      <c r="A174" s="108">
        <v>316</v>
      </c>
      <c r="B174" s="108">
        <v>1</v>
      </c>
      <c r="C174" s="109" t="s">
        <v>112</v>
      </c>
      <c r="D174" s="108" t="str">
        <f>'SGTO POAI 2024 ARMONIZADO'!I284</f>
        <v>4104</v>
      </c>
      <c r="E174" s="114" t="str">
        <f>'SGTO POAI 2024 ARMONIZADO'!J284</f>
        <v>Atención integral de población en situación permanente de desprotección social y/o familiar</v>
      </c>
      <c r="F174" s="108">
        <f t="shared" si="13"/>
        <v>158</v>
      </c>
      <c r="G174" s="108">
        <f>'SGTO POAI 2024 ARMONIZADO'!R284</f>
        <v>2024003630063</v>
      </c>
      <c r="H174" s="112" t="str">
        <f>'SGTO POAI 2024 ARMONIZADO'!S284</f>
        <v xml:space="preserve">Asistencia a la población habitante de calle mediante la articulación de servicios de oferta institucional  en el departamento del Quindío </v>
      </c>
      <c r="I174" s="224">
        <f>SUM('SGTO POAI 2024 ARMONIZADO'!AU284)</f>
        <v>36000000</v>
      </c>
      <c r="J174" s="224">
        <f>SUM('SGTO POAI 2024 ARMONIZADO'!AV284)</f>
        <v>34163333</v>
      </c>
      <c r="K174" s="167">
        <f t="shared" si="10"/>
        <v>0.94898147222222218</v>
      </c>
      <c r="L174" s="224">
        <f>SUM('SGTO POAI 2024 ARMONIZADO'!AW284)</f>
        <v>14800000</v>
      </c>
      <c r="M174" s="166">
        <f t="shared" si="11"/>
        <v>0.41111111111111109</v>
      </c>
    </row>
    <row r="175" spans="1:13" s="142" customFormat="1" ht="48.75" customHeight="1" x14ac:dyDescent="0.25">
      <c r="A175" s="108">
        <v>316</v>
      </c>
      <c r="B175" s="108">
        <v>1</v>
      </c>
      <c r="C175" s="109" t="s">
        <v>112</v>
      </c>
      <c r="D175" s="108">
        <f>'SGTO POAI 2024 ARMONIZADO'!I285</f>
        <v>4104</v>
      </c>
      <c r="E175" s="114" t="str">
        <f>'SGTO POAI 2024 ARMONIZADO'!J285</f>
        <v>Atención integral de población en situación permanente de desprotección social y/o familiar</v>
      </c>
      <c r="F175" s="108">
        <f t="shared" si="13"/>
        <v>159</v>
      </c>
      <c r="G175" s="108">
        <f>'SGTO POAI 2024 ARMONIZADO'!R285</f>
        <v>2020003630109</v>
      </c>
      <c r="H175" s="112" t="str">
        <f>'SGTO POAI 2024 ARMONIZADO'!S285</f>
        <v xml:space="preserve">Servicio  de atención integral e inclusión para el bienestar de los adultos mayores del departamento del Quindío </v>
      </c>
      <c r="I175" s="224">
        <f>SUM('SGTO POAI 2024 ARMONIZADO'!AU285:AU286)</f>
        <v>4061247306.1999998</v>
      </c>
      <c r="J175" s="224">
        <f>SUM('SGTO POAI 2024 ARMONIZADO'!AV285:AV286)</f>
        <v>4061247306.1999998</v>
      </c>
      <c r="K175" s="167">
        <f t="shared" si="10"/>
        <v>1</v>
      </c>
      <c r="L175" s="224">
        <f>SUM('SGTO POAI 2024 ARMONIZADO'!AW285:AW286)</f>
        <v>4060397305.54</v>
      </c>
      <c r="M175" s="166">
        <f t="shared" si="11"/>
        <v>0.99979070453092034</v>
      </c>
    </row>
    <row r="176" spans="1:13" s="142" customFormat="1" ht="52.5" customHeight="1" x14ac:dyDescent="0.25">
      <c r="A176" s="108">
        <v>316</v>
      </c>
      <c r="B176" s="108">
        <v>1</v>
      </c>
      <c r="C176" s="109" t="s">
        <v>112</v>
      </c>
      <c r="D176" s="108" t="str">
        <f>'SGTO POAI 2024 ARMONIZADO'!I287</f>
        <v>4104</v>
      </c>
      <c r="E176" s="114" t="str">
        <f>'SGTO POAI 2024 ARMONIZADO'!J287</f>
        <v>Atención integral de población en situación permanente de desprotección social y/o familiar</v>
      </c>
      <c r="F176" s="108">
        <f t="shared" si="13"/>
        <v>160</v>
      </c>
      <c r="G176" s="108">
        <f>'SGTO POAI 2024 ARMONIZADO'!R287</f>
        <v>2024003630057</v>
      </c>
      <c r="H176" s="112" t="str">
        <f>'SGTO POAI 2024 ARMONIZADO'!S287</f>
        <v xml:space="preserve">Servicios de atención integral al adulto mayor en situación permanente de desprotección social y/o familiar en el Departamento del Quindío. </v>
      </c>
      <c r="I176" s="224">
        <f>SUM('SGTO POAI 2024 ARMONIZADO'!AU287:AU289)</f>
        <v>3961760158.4000001</v>
      </c>
      <c r="J176" s="224">
        <f>SUM('SGTO POAI 2024 ARMONIZADO'!AV287:AV289)</f>
        <v>3293416959.9899998</v>
      </c>
      <c r="K176" s="167">
        <f t="shared" si="10"/>
        <v>0.83130144892973079</v>
      </c>
      <c r="L176" s="224">
        <f>SUM('SGTO POAI 2024 ARMONIZADO'!AW287:AW289)</f>
        <v>3266996959.9899998</v>
      </c>
      <c r="M176" s="166">
        <f t="shared" si="11"/>
        <v>0.82463269591499244</v>
      </c>
    </row>
    <row r="177" spans="1:13" s="142" customFormat="1" ht="50.25" customHeight="1" x14ac:dyDescent="0.25">
      <c r="A177" s="108">
        <v>316</v>
      </c>
      <c r="B177" s="108">
        <f>'SGTO POAI 2024 ARMONIZADO'!E290</f>
        <v>2</v>
      </c>
      <c r="C177" s="109" t="str">
        <f>'SGTO POAI 2024 ARMONIZADO'!F290</f>
        <v xml:space="preserve">Productividad, Competitividad y Medio Ambiente. “Quindío amigo de las empresas y el empleo. Quindío verde, territorio de agua, agricultura y medio ambiente” </v>
      </c>
      <c r="D177" s="108">
        <f>'SGTO POAI 2024 ARMONIZADO'!I290</f>
        <v>1702</v>
      </c>
      <c r="E177" s="114" t="str">
        <f>'SGTO POAI 2024 ARMONIZADO'!J290</f>
        <v>Inclusión productiva de pequeños productores rurales</v>
      </c>
      <c r="F177" s="108">
        <f t="shared" si="13"/>
        <v>161</v>
      </c>
      <c r="G177" s="108">
        <f>'SGTO POAI 2024 ARMONIZADO'!R290</f>
        <v>2020003630113</v>
      </c>
      <c r="H177" s="112" t="str">
        <f>'SGTO POAI 2024 ARMONIZADO'!S290</f>
        <v>Implementación de  estrategias de acompañamiento y asesoría a las asociaciones de mujeres del departamento del Quindío</v>
      </c>
      <c r="I177" s="224">
        <f>SUM('SGTO POAI 2024 ARMONIZADO'!AU290)</f>
        <v>11000000</v>
      </c>
      <c r="J177" s="224">
        <f>SUM('SGTO POAI 2024 ARMONIZADO'!AV290)</f>
        <v>11000000</v>
      </c>
      <c r="K177" s="167">
        <f t="shared" si="10"/>
        <v>1</v>
      </c>
      <c r="L177" s="224">
        <f>SUM('SGTO POAI 2024 ARMONIZADO'!AW290)</f>
        <v>11000000</v>
      </c>
      <c r="M177" s="166">
        <f t="shared" si="11"/>
        <v>1</v>
      </c>
    </row>
    <row r="178" spans="1:13" s="142" customFormat="1" ht="57.75" customHeight="1" x14ac:dyDescent="0.25">
      <c r="A178" s="108">
        <v>316</v>
      </c>
      <c r="B178" s="108">
        <f>'SGTO POAI 2024 ARMONIZADO'!E291</f>
        <v>2</v>
      </c>
      <c r="C178" s="109" t="str">
        <f>'SGTO POAI 2024 ARMONIZADO'!F291</f>
        <v xml:space="preserve">Productividad, Competitividad y Medio Ambiente. “Quindío amigo de las empresas y el empleo. Quindío verde, territorio de agua, agricultura y medio ambiente” </v>
      </c>
      <c r="D178" s="108" t="str">
        <f>'SGTO POAI 2024 ARMONIZADO'!I291</f>
        <v>1702</v>
      </c>
      <c r="E178" s="114" t="str">
        <f>'SGTO POAI 2024 ARMONIZADO'!J291</f>
        <v>Inclusión productiva de pequeños productores rurales</v>
      </c>
      <c r="F178" s="108">
        <f t="shared" si="13"/>
        <v>162</v>
      </c>
      <c r="G178" s="108">
        <f>'SGTO POAI 2024 ARMONIZADO'!R291</f>
        <v>2024003630076</v>
      </c>
      <c r="H178" s="112" t="str">
        <f>'SGTO POAI 2024 ARMONIZADO'!S291</f>
        <v>Apoyo para la conformación ó consolidación de asociaciones de mujeres productoras a través de estrategias y asesorías en temas organizacionales y administrativos en el departamento del Quindio</v>
      </c>
      <c r="I178" s="224">
        <f>SUM('SGTO POAI 2024 ARMONIZADO'!AU291)</f>
        <v>19000000</v>
      </c>
      <c r="J178" s="224">
        <f>SUM('SGTO POAI 2024 ARMONIZADO'!AV291)</f>
        <v>19000000</v>
      </c>
      <c r="K178" s="167">
        <f t="shared" si="10"/>
        <v>1</v>
      </c>
      <c r="L178" s="224">
        <f>SUM('SGTO POAI 2024 ARMONIZADO'!AW291)</f>
        <v>13800000</v>
      </c>
      <c r="M178" s="166">
        <f t="shared" si="11"/>
        <v>0.72631578947368425</v>
      </c>
    </row>
    <row r="179" spans="1:13" s="142" customFormat="1" ht="51.75" customHeight="1" x14ac:dyDescent="0.25">
      <c r="A179" s="108">
        <v>316</v>
      </c>
      <c r="B179" s="108">
        <f>'SGTO POAI 2024 ARMONIZADO'!E295</f>
        <v>4</v>
      </c>
      <c r="C179" s="109" t="str">
        <f>'SGTO POAI 2024 ARMONIZADO'!F295</f>
        <v>Gobernabilidad, Fortalecimiento Institucional y Seguridad. “Quindío territorio seguro y confiable”</v>
      </c>
      <c r="D179" s="108">
        <f>'SGTO POAI 2024 ARMONIZADO'!I292</f>
        <v>4502</v>
      </c>
      <c r="E179" s="114" t="str">
        <f>'SGTO POAI 2024 ARMONIZADO'!J292</f>
        <v>Fortalecimiento del buen gobierno para el respeto y garantía de los derechos humanos</v>
      </c>
      <c r="F179" s="108">
        <f t="shared" si="13"/>
        <v>163</v>
      </c>
      <c r="G179" s="108">
        <f>'SGTO POAI 2024 ARMONIZADO'!R292</f>
        <v>2021003630008</v>
      </c>
      <c r="H179" s="112" t="str">
        <f>'SGTO POAI 2024 ARMONIZADO'!S292</f>
        <v xml:space="preserve">Implementación de la política pública de equidad de género para la mujer en el Departamento del Quindío  </v>
      </c>
      <c r="I179" s="224">
        <f>SUM('SGTO POAI 2024 ARMONIZADO'!AU292)</f>
        <v>138229500</v>
      </c>
      <c r="J179" s="224">
        <f>SUM('SGTO POAI 2024 ARMONIZADO'!AV292)</f>
        <v>138229500</v>
      </c>
      <c r="K179" s="167">
        <f t="shared" si="10"/>
        <v>1</v>
      </c>
      <c r="L179" s="224">
        <f>SUM('SGTO POAI 2024 ARMONIZADO'!AW292)</f>
        <v>133229500</v>
      </c>
      <c r="M179" s="166">
        <f t="shared" si="11"/>
        <v>0.96382827109987379</v>
      </c>
    </row>
    <row r="180" spans="1:13" s="142" customFormat="1" ht="45" customHeight="1" x14ac:dyDescent="0.25">
      <c r="A180" s="108">
        <v>316</v>
      </c>
      <c r="B180" s="108">
        <v>4</v>
      </c>
      <c r="C180" s="109" t="s">
        <v>102</v>
      </c>
      <c r="D180" s="108" t="str">
        <f>'SGTO POAI 2024 ARMONIZADO'!I293</f>
        <v>4502</v>
      </c>
      <c r="E180" s="114" t="str">
        <f>'SGTO POAI 2024 ARMONIZADO'!J293</f>
        <v>Fortalecimiento del buen gobierno para el respeto y garantía de los derechos humanos</v>
      </c>
      <c r="F180" s="108">
        <f t="shared" si="13"/>
        <v>164</v>
      </c>
      <c r="G180" s="108">
        <f>'SGTO POAI 2024 ARMONIZADO'!R293</f>
        <v>2024003630102</v>
      </c>
      <c r="H180" s="112" t="str">
        <f>'SGTO POAI 2024 ARMONIZADO'!S293</f>
        <v xml:space="preserve">Implementación de la Política Pública para la equidad de género y la autonomía de las Mujeres en el Departamento del Quindío </v>
      </c>
      <c r="I180" s="224">
        <f>SUM('SGTO POAI 2024 ARMONIZADO'!AU293)</f>
        <v>93491000</v>
      </c>
      <c r="J180" s="224">
        <f>SUM('SGTO POAI 2024 ARMONIZADO'!AV293)</f>
        <v>90266667</v>
      </c>
      <c r="K180" s="167">
        <f t="shared" si="10"/>
        <v>0.96551183536383178</v>
      </c>
      <c r="L180" s="224">
        <f>SUM('SGTO POAI 2024 ARMONIZADO'!AW293)</f>
        <v>37700000</v>
      </c>
      <c r="M180" s="166">
        <f t="shared" si="11"/>
        <v>0.40324737140473416</v>
      </c>
    </row>
    <row r="181" spans="1:13" s="142" customFormat="1" ht="48" customHeight="1" x14ac:dyDescent="0.25">
      <c r="A181" s="108">
        <v>316</v>
      </c>
      <c r="B181" s="108">
        <v>4</v>
      </c>
      <c r="C181" s="109" t="s">
        <v>102</v>
      </c>
      <c r="D181" s="108">
        <f>'SGTO POAI 2024 ARMONIZADO'!I294</f>
        <v>4502</v>
      </c>
      <c r="E181" s="114" t="str">
        <f>'SGTO POAI 2024 ARMONIZADO'!J294</f>
        <v>Fortalecimiento del buen gobierno para el respeto y garantía de los derechos humanos</v>
      </c>
      <c r="F181" s="108">
        <f t="shared" si="13"/>
        <v>165</v>
      </c>
      <c r="G181" s="108">
        <f>'SGTO POAI 2024 ARMONIZADO'!R294</f>
        <v>2021003630007</v>
      </c>
      <c r="H181" s="112" t="str">
        <f>'SGTO POAI 2024 ARMONIZADO'!S294</f>
        <v xml:space="preserve">Implementación de la política pública  de diversidad sexual en el Departamento del Quindío 2019-2029  </v>
      </c>
      <c r="I181" s="224">
        <f>SUM('SGTO POAI 2024 ARMONIZADO'!AU294)</f>
        <v>78609500</v>
      </c>
      <c r="J181" s="224">
        <f>SUM('SGTO POAI 2024 ARMONIZADO'!AV294)</f>
        <v>78609500</v>
      </c>
      <c r="K181" s="167">
        <f t="shared" si="10"/>
        <v>1</v>
      </c>
      <c r="L181" s="224">
        <f>SUM('SGTO POAI 2024 ARMONIZADO'!AW294)</f>
        <v>75659500</v>
      </c>
      <c r="M181" s="166">
        <f t="shared" si="11"/>
        <v>0.96247272912307036</v>
      </c>
    </row>
    <row r="182" spans="1:13" s="142" customFormat="1" ht="60" customHeight="1" x14ac:dyDescent="0.25">
      <c r="A182" s="108">
        <v>316</v>
      </c>
      <c r="B182" s="108">
        <v>4</v>
      </c>
      <c r="C182" s="109" t="s">
        <v>102</v>
      </c>
      <c r="D182" s="108" t="str">
        <f>'SGTO POAI 2024 ARMONIZADO'!I295</f>
        <v>4502</v>
      </c>
      <c r="E182" s="114" t="str">
        <f>'SGTO POAI 2024 ARMONIZADO'!J295</f>
        <v>Fortalecimiento del buen gobierno para el respeto y garantía de los derechos humanos</v>
      </c>
      <c r="F182" s="108">
        <f t="shared" si="13"/>
        <v>166</v>
      </c>
      <c r="G182" s="108">
        <f>'SGTO POAI 2024 ARMONIZADO'!R295</f>
        <v>2024003630079</v>
      </c>
      <c r="H182" s="112" t="str">
        <f>'SGTO POAI 2024 ARMONIZADO'!S295</f>
        <v>Implementación de la política pública de diversidad sexual e identidad de género 2019-2029 en el departamento del Quindio</v>
      </c>
      <c r="I182" s="224">
        <f>SUM('SGTO POAI 2024 ARMONIZADO'!AU295)</f>
        <v>60000000</v>
      </c>
      <c r="J182" s="224">
        <f>SUM('SGTO POAI 2024 ARMONIZADO'!AV295)</f>
        <v>59726667</v>
      </c>
      <c r="K182" s="167">
        <f t="shared" si="10"/>
        <v>0.99544445000000004</v>
      </c>
      <c r="L182" s="224">
        <f>SUM('SGTO POAI 2024 ARMONIZADO'!AW295)</f>
        <v>32964171</v>
      </c>
      <c r="M182" s="166">
        <f t="shared" si="11"/>
        <v>0.54940285</v>
      </c>
    </row>
    <row r="183" spans="1:13" s="142" customFormat="1" ht="60" customHeight="1" x14ac:dyDescent="0.25">
      <c r="A183" s="108">
        <v>316</v>
      </c>
      <c r="B183" s="108">
        <v>4</v>
      </c>
      <c r="C183" s="109" t="s">
        <v>102</v>
      </c>
      <c r="D183" s="108">
        <f>'SGTO POAI 2024 ARMONIZADO'!I296</f>
        <v>4502</v>
      </c>
      <c r="E183" s="114" t="str">
        <f>'SGTO POAI 2024 ARMONIZADO'!J296</f>
        <v>Fortalecimiento del buen gobierno para el respeto y garantía de los derechos humanos</v>
      </c>
      <c r="F183" s="108">
        <f t="shared" si="13"/>
        <v>167</v>
      </c>
      <c r="G183" s="108">
        <f>'SGTO POAI 2024 ARMONIZADO'!R296</f>
        <v>2020003630111</v>
      </c>
      <c r="H183" s="112" t="str">
        <f>'SGTO POAI 2024 ARMONIZADO'!S296</f>
        <v xml:space="preserve">Implementación de la Casa  de la Mujer Empoderada para la promoción a la participación ciudadana  de Mujeres en escenarios sociales, políticos y en fortalecimiento de la asociatividad  en el departamento del Quindío " TU Y YO CON LAS MUJERES EMPODERADAS." </v>
      </c>
      <c r="I183" s="224">
        <f>SUM('SGTO POAI 2024 ARMONIZADO'!AU296)</f>
        <v>15900000</v>
      </c>
      <c r="J183" s="224">
        <f>SUM('SGTO POAI 2024 ARMONIZADO'!AV296)</f>
        <v>15900000</v>
      </c>
      <c r="K183" s="167">
        <f t="shared" si="10"/>
        <v>1</v>
      </c>
      <c r="L183" s="224">
        <f>SUM('SGTO POAI 2024 ARMONIZADO'!AW296)</f>
        <v>15900000</v>
      </c>
      <c r="M183" s="166">
        <f t="shared" si="11"/>
        <v>1</v>
      </c>
    </row>
    <row r="184" spans="1:13" s="142" customFormat="1" ht="50.25" customHeight="1" x14ac:dyDescent="0.25">
      <c r="A184" s="108">
        <v>316</v>
      </c>
      <c r="B184" s="108">
        <v>4</v>
      </c>
      <c r="C184" s="109" t="s">
        <v>102</v>
      </c>
      <c r="D184" s="108" t="str">
        <f>'SGTO POAI 2024 ARMONIZADO'!I297</f>
        <v>4502</v>
      </c>
      <c r="E184" s="114" t="str">
        <f>'SGTO POAI 2024 ARMONIZADO'!J297</f>
        <v>Fortalecimiento del buen gobierno para el respeto y garantía de los derechos humanos</v>
      </c>
      <c r="F184" s="108">
        <f t="shared" si="13"/>
        <v>168</v>
      </c>
      <c r="G184" s="108">
        <f>'SGTO POAI 2024 ARMONIZADO'!R297</f>
        <v>2024003630086</v>
      </c>
      <c r="H184" s="112" t="str">
        <f>'SGTO POAI 2024 ARMONIZADO'!S297</f>
        <v>Fortalecimiento de espacios de formación, atención y liderazgo para las mujeres en el departamento del Quindío</v>
      </c>
      <c r="I184" s="224">
        <f>SUM('SGTO POAI 2024 ARMONIZADO'!AU297)</f>
        <v>24000000</v>
      </c>
      <c r="J184" s="224">
        <f>SUM('SGTO POAI 2024 ARMONIZADO'!AV297)</f>
        <v>18986333</v>
      </c>
      <c r="K184" s="167">
        <f t="shared" si="10"/>
        <v>0.7910972083333333</v>
      </c>
      <c r="L184" s="224">
        <f>SUM('SGTO POAI 2024 ARMONIZADO'!AW297)</f>
        <v>8300000</v>
      </c>
      <c r="M184" s="166">
        <f t="shared" si="11"/>
        <v>0.34583333333333333</v>
      </c>
    </row>
    <row r="185" spans="1:13" s="142" customFormat="1" ht="35.25" customHeight="1" x14ac:dyDescent="0.25">
      <c r="A185" s="108">
        <v>316</v>
      </c>
      <c r="B185" s="108">
        <v>4</v>
      </c>
      <c r="C185" s="109" t="s">
        <v>102</v>
      </c>
      <c r="D185" s="108">
        <f>'SGTO POAI 2024 ARMONIZADO'!I298</f>
        <v>4502</v>
      </c>
      <c r="E185" s="114" t="str">
        <f>'SGTO POAI 2024 ARMONIZADO'!J298</f>
        <v>Fortalecimiento del buen gobierno para el respeto y garantía de los derechos humanos</v>
      </c>
      <c r="F185" s="108">
        <f t="shared" si="13"/>
        <v>169</v>
      </c>
      <c r="G185" s="108">
        <f>'SGTO POAI 2024 ARMONIZADO'!R298</f>
        <v>2020003630112</v>
      </c>
      <c r="H185" s="112" t="str">
        <f>'SGTO POAI 2024 ARMONIZADO'!S298</f>
        <v>Implementación de la Casa Refugio de la Mujer del Departamento del Quindío</v>
      </c>
      <c r="I185" s="224">
        <f>SUM('SGTO POAI 2024 ARMONIZADO'!AU298)</f>
        <v>31200000</v>
      </c>
      <c r="J185" s="224">
        <f>SUM('SGTO POAI 2024 ARMONIZADO'!AV298)</f>
        <v>31200000</v>
      </c>
      <c r="K185" s="167">
        <f t="shared" si="10"/>
        <v>1</v>
      </c>
      <c r="L185" s="224">
        <f>SUM('SGTO POAI 2024 ARMONIZADO'!AW298)</f>
        <v>31200000</v>
      </c>
      <c r="M185" s="166">
        <f t="shared" si="11"/>
        <v>1</v>
      </c>
    </row>
    <row r="186" spans="1:13" s="142" customFormat="1" ht="60" customHeight="1" x14ac:dyDescent="0.25">
      <c r="A186" s="108">
        <v>316</v>
      </c>
      <c r="B186" s="108">
        <v>4</v>
      </c>
      <c r="C186" s="109" t="s">
        <v>102</v>
      </c>
      <c r="D186" s="108" t="str">
        <f>'SGTO POAI 2024 ARMONIZADO'!I299</f>
        <v>4502</v>
      </c>
      <c r="E186" s="114" t="str">
        <f>'SGTO POAI 2024 ARMONIZADO'!J299</f>
        <v>Fortalecimiento del buen gobierno para el respeto y garantía de los derechos humanos</v>
      </c>
      <c r="F186" s="108">
        <f t="shared" si="13"/>
        <v>170</v>
      </c>
      <c r="G186" s="108">
        <f>'SGTO POAI 2024 ARMONIZADO'!R299</f>
        <v>2024003630085</v>
      </c>
      <c r="H186" s="112" t="str">
        <f>'SGTO POAI 2024 ARMONIZADO'!S299</f>
        <v>Implementación de medidas de protección y atención para las mujeres víctimas de violencia y discriminación en el marco de la Ley 1257 del 2008, en el departamento del Quindío</v>
      </c>
      <c r="I186" s="224">
        <f>SUM('SGTO POAI 2024 ARMONIZADO'!AU299)</f>
        <v>43800000</v>
      </c>
      <c r="J186" s="224">
        <f>SUM('SGTO POAI 2024 ARMONIZADO'!AV299)</f>
        <v>11900000</v>
      </c>
      <c r="K186" s="167">
        <f t="shared" si="10"/>
        <v>0.27168949771689499</v>
      </c>
      <c r="L186" s="224">
        <f>SUM('SGTO POAI 2024 ARMONIZADO'!AW299)</f>
        <v>11900000</v>
      </c>
      <c r="M186" s="166">
        <f t="shared" si="11"/>
        <v>0.27168949771689499</v>
      </c>
    </row>
    <row r="187" spans="1:13" s="142" customFormat="1" ht="40.5" customHeight="1" x14ac:dyDescent="0.25">
      <c r="A187" s="108">
        <v>316</v>
      </c>
      <c r="B187" s="108">
        <v>1</v>
      </c>
      <c r="C187" s="109" t="s">
        <v>112</v>
      </c>
      <c r="D187" s="108" t="str">
        <f>'SGTO POAI 2024 ARMONIZADO'!I300</f>
        <v>4102</v>
      </c>
      <c r="E187" s="114" t="str">
        <f>'SGTO POAI 2024 ARMONIZADO'!J300</f>
        <v>Desarrollo integral de la primera infancia a la juventud, y fortalecimiento de las capacidades de las familias de niñas, niños y adolescentes</v>
      </c>
      <c r="F187" s="108">
        <f t="shared" si="13"/>
        <v>171</v>
      </c>
      <c r="G187" s="108">
        <f>'SGTO POAI 2024 ARMONIZADO'!R300</f>
        <v>2024003630084</v>
      </c>
      <c r="H187" s="112" t="str">
        <f>'SGTO POAI 2024 ARMONIZADO'!S300</f>
        <v>Implementación de la Política Pública de juventud en el departamento del Quindío</v>
      </c>
      <c r="I187" s="224">
        <f>SUM('SGTO POAI 2024 ARMONIZADO'!AU300)</f>
        <v>107364500</v>
      </c>
      <c r="J187" s="224">
        <f>SUM('SGTO POAI 2024 ARMONIZADO'!AV300)</f>
        <v>87324791</v>
      </c>
      <c r="K187" s="167">
        <f t="shared" si="10"/>
        <v>0.81334883504324051</v>
      </c>
      <c r="L187" s="224">
        <f>SUM('SGTO POAI 2024 ARMONIZADO'!AW300)</f>
        <v>71800000</v>
      </c>
      <c r="M187" s="166">
        <f t="shared" si="11"/>
        <v>0.66874991268063466</v>
      </c>
    </row>
    <row r="188" spans="1:13" s="142" customFormat="1" ht="60" customHeight="1" x14ac:dyDescent="0.25">
      <c r="A188" s="108">
        <v>316</v>
      </c>
      <c r="B188" s="108">
        <v>1</v>
      </c>
      <c r="C188" s="109" t="s">
        <v>112</v>
      </c>
      <c r="D188" s="108" t="str">
        <f>'SGTO POAI 2024 ARMONIZADO'!I301</f>
        <v>4102</v>
      </c>
      <c r="E188" s="114" t="str">
        <f>'SGTO POAI 2024 ARMONIZADO'!J301</f>
        <v>Desarrollo integral de la primera infancia a la juventud, y fortalecimiento de las capacidades de las familias de niñas, niños y adolescentes</v>
      </c>
      <c r="F188" s="108">
        <f t="shared" si="13"/>
        <v>172</v>
      </c>
      <c r="G188" s="108">
        <f>'SGTO POAI 2024 ARMONIZADO'!R301</f>
        <v>2024003630075</v>
      </c>
      <c r="H188" s="112" t="str">
        <f>'SGTO POAI 2024 ARMONIZADO'!S301</f>
        <v xml:space="preserve">Asistencia técnica a las entidades territoriales en las Políticas Públicas de primera infancia, infancia, adolescencia, juventud y familia en el departamento del Quindío. </v>
      </c>
      <c r="I188" s="224">
        <f>SUM('SGTO POAI 2024 ARMONIZADO'!AU301)</f>
        <v>20000000</v>
      </c>
      <c r="J188" s="224">
        <f>SUM('SGTO POAI 2024 ARMONIZADO'!AV301)</f>
        <v>19950000</v>
      </c>
      <c r="K188" s="167">
        <f t="shared" si="10"/>
        <v>0.99750000000000005</v>
      </c>
      <c r="L188" s="224">
        <f>SUM('SGTO POAI 2024 ARMONIZADO'!AW301)</f>
        <v>13400000</v>
      </c>
      <c r="M188" s="166">
        <f t="shared" si="11"/>
        <v>0.67</v>
      </c>
    </row>
    <row r="189" spans="1:13" s="142" customFormat="1" ht="60" customHeight="1" x14ac:dyDescent="0.25">
      <c r="A189" s="108">
        <v>316</v>
      </c>
      <c r="B189" s="108">
        <v>4</v>
      </c>
      <c r="C189" s="109" t="s">
        <v>102</v>
      </c>
      <c r="D189" s="108" t="str">
        <f>'SGTO POAI 2024 ARMONIZADO'!I303</f>
        <v>4502</v>
      </c>
      <c r="E189" s="114" t="str">
        <f>'SGTO POAI 2024 ARMONIZADO'!J303</f>
        <v>Fortalecimiento del buen gobierno para el respeto y garantía de los derechos humanos</v>
      </c>
      <c r="F189" s="108">
        <f t="shared" si="13"/>
        <v>173</v>
      </c>
      <c r="G189" s="108">
        <f>'SGTO POAI 2024 ARMONIZADO'!R303</f>
        <v>2024003630117</v>
      </c>
      <c r="H189" s="112" t="str">
        <f>'SGTO POAI 2024 ARMONIZADO'!S303</f>
        <v>Fortalecimiento de emprendimientos individuales y colectivos de personas y comunidades en riesgo con enfoque diferencial para la generación de ingresos en el departamento del Quindío</v>
      </c>
      <c r="I189" s="224">
        <f>SUM('SGTO POAI 2024 ARMONIZADO'!AU303)</f>
        <v>200000000</v>
      </c>
      <c r="J189" s="224">
        <f>SUM('SGTO POAI 2024 ARMONIZADO'!AV303)</f>
        <v>0</v>
      </c>
      <c r="K189" s="167">
        <f t="shared" si="10"/>
        <v>0</v>
      </c>
      <c r="L189" s="224">
        <f>SUM('SGTO POAI 2024 ARMONIZADO'!AW303)</f>
        <v>0</v>
      </c>
      <c r="M189" s="166">
        <f t="shared" si="11"/>
        <v>0</v>
      </c>
    </row>
    <row r="190" spans="1:13" s="142" customFormat="1" ht="60" customHeight="1" x14ac:dyDescent="0.25">
      <c r="A190" s="108">
        <v>316</v>
      </c>
      <c r="B190" s="108">
        <v>4</v>
      </c>
      <c r="C190" s="109" t="s">
        <v>102</v>
      </c>
      <c r="D190" s="108" t="str">
        <f>'SGTO POAI 2024 ARMONIZADO'!I302</f>
        <v>4599</v>
      </c>
      <c r="E190" s="114" t="str">
        <f>'SGTO POAI 2024 ARMONIZADO'!J302</f>
        <v>Fortalecimiento a la gestión y dirección de la administración pública territorial</v>
      </c>
      <c r="F190" s="108">
        <f t="shared" si="13"/>
        <v>174</v>
      </c>
      <c r="G190" s="108">
        <f>'SGTO POAI 2024 ARMONIZADO'!R302</f>
        <v>2024003630114</v>
      </c>
      <c r="H190" s="112" t="str">
        <f>'SGTO POAI 2024 ARMONIZADO'!S302</f>
        <v xml:space="preserve">Formulación y evaluación de instrumentos de Políticas Públicas para el abordaje de las poblaciones en situación de desprotección social del departamento del Quindío. </v>
      </c>
      <c r="I190" s="224">
        <f>SUM('SGTO POAI 2024 ARMONIZADO'!AU302+'SGTO POAI 2024 ARMONIZADO'!AU304)</f>
        <v>40000000</v>
      </c>
      <c r="J190" s="224">
        <f>SUM('SGTO POAI 2024 ARMONIZADO'!AV302+'SGTO POAI 2024 ARMONIZADO'!AV304)</f>
        <v>40000000</v>
      </c>
      <c r="K190" s="167">
        <f t="shared" si="10"/>
        <v>1</v>
      </c>
      <c r="L190" s="224">
        <f>SUM('SGTO POAI 2024 ARMONIZADO'!AW302+'SGTO POAI 2024 ARMONIZADO'!AW304)</f>
        <v>20100000</v>
      </c>
      <c r="M190" s="166">
        <f t="shared" si="11"/>
        <v>0.50249999999999995</v>
      </c>
    </row>
    <row r="191" spans="1:13" s="142" customFormat="1" ht="30" customHeight="1" x14ac:dyDescent="0.25">
      <c r="A191" s="16">
        <v>318</v>
      </c>
      <c r="B191" s="16"/>
      <c r="C191" s="16"/>
      <c r="D191" s="187"/>
      <c r="E191" s="12"/>
      <c r="F191" s="5" t="s">
        <v>1135</v>
      </c>
      <c r="G191" s="6"/>
      <c r="H191" s="10"/>
      <c r="I191" s="223">
        <f>SUM(I192:I231)</f>
        <v>77717604758.009995</v>
      </c>
      <c r="J191" s="223">
        <f>SUM(J192:J231)</f>
        <v>61611547267.029999</v>
      </c>
      <c r="K191" s="168">
        <f t="shared" si="10"/>
        <v>0.79276178748522197</v>
      </c>
      <c r="L191" s="223">
        <f>SUM(L192:L231)</f>
        <v>47687698577.729988</v>
      </c>
      <c r="M191" s="168">
        <f t="shared" si="11"/>
        <v>0.61360226844632704</v>
      </c>
    </row>
    <row r="192" spans="1:13" s="142" customFormat="1" ht="42.75" customHeight="1" x14ac:dyDescent="0.25">
      <c r="A192" s="13">
        <f>'SGTO POAI 2024 ARMONIZADO'!A305</f>
        <v>318</v>
      </c>
      <c r="B192" s="13">
        <f>'SGTO POAI 2024 ARMONIZADO'!E305</f>
        <v>1</v>
      </c>
      <c r="C192" s="14" t="str">
        <f>'SGTO POAI 2024 ARMONIZADO'!F305</f>
        <v>Social, Inclusiva y Participativa. "En el Quindío todos caben y nadie se quedan atrás".</v>
      </c>
      <c r="D192" s="13">
        <f>'SGTO POAI 2024 ARMONIZADO'!I305</f>
        <v>1903</v>
      </c>
      <c r="E192" s="14" t="str">
        <f>'SGTO POAI 2024 ARMONIZADO'!J305</f>
        <v>Inspección, vigilancia y control</v>
      </c>
      <c r="F192" s="15">
        <f>F190+1</f>
        <v>175</v>
      </c>
      <c r="G192" s="108">
        <f>'SGTO POAI 2024 ARMONIZADO'!R305</f>
        <v>2020003630116</v>
      </c>
      <c r="H192" s="3" t="str">
        <f>'SGTO POAI 2024 ARMONIZADO'!S305</f>
        <v xml:space="preserve">Fortalecimiento de la autoridad sanitaria en el Departamento del Quindío                                                                                           </v>
      </c>
      <c r="I192" s="220">
        <f>'SGTO POAI 2024 ARMONIZADO'!AU305+'SGTO POAI 2024 ARMONIZADO'!AU306+'SGTO POAI 2024 ARMONIZADO'!AU307+'SGTO POAI 2024 ARMONIZADO'!AU309+'SGTO POAI 2024 ARMONIZADO'!AU310+'SGTO POAI 2024 ARMONIZADO'!AU318</f>
        <v>468263088</v>
      </c>
      <c r="J192" s="220">
        <f>'SGTO POAI 2024 ARMONIZADO'!AV305+'SGTO POAI 2024 ARMONIZADO'!AV306+'SGTO POAI 2024 ARMONIZADO'!AV307+'SGTO POAI 2024 ARMONIZADO'!AV309+'SGTO POAI 2024 ARMONIZADO'!AV310+'SGTO POAI 2024 ARMONIZADO'!AV318</f>
        <v>364392849</v>
      </c>
      <c r="K192" s="176">
        <f t="shared" si="10"/>
        <v>0.778179741982994</v>
      </c>
      <c r="L192" s="220">
        <f>'SGTO POAI 2024 ARMONIZADO'!AW305+'SGTO POAI 2024 ARMONIZADO'!AW306+'SGTO POAI 2024 ARMONIZADO'!AW307+'SGTO POAI 2024 ARMONIZADO'!AW309+'SGTO POAI 2024 ARMONIZADO'!AW310+'SGTO POAI 2024 ARMONIZADO'!AW318</f>
        <v>362027049</v>
      </c>
      <c r="M192" s="176">
        <f t="shared" si="11"/>
        <v>0.77312745394102045</v>
      </c>
    </row>
    <row r="193" spans="1:13" s="142" customFormat="1" ht="48.75" customHeight="1" x14ac:dyDescent="0.25">
      <c r="A193" s="13">
        <f>'SGTO POAI 2024 ARMONIZADO'!A315</f>
        <v>318</v>
      </c>
      <c r="B193" s="13">
        <v>1</v>
      </c>
      <c r="C193" s="14" t="s">
        <v>112</v>
      </c>
      <c r="D193" s="13">
        <f>'SGTO POAI 2024 ARMONIZADO'!I315</f>
        <v>1903</v>
      </c>
      <c r="E193" s="14" t="str">
        <f>'SGTO POAI 2024 ARMONIZADO'!J315</f>
        <v>Inspección, vigilancia y control</v>
      </c>
      <c r="F193" s="15">
        <f>F192+1</f>
        <v>176</v>
      </c>
      <c r="G193" s="108">
        <f>'SGTO POAI 2024 ARMONIZADO'!R315</f>
        <v>2024003630121</v>
      </c>
      <c r="H193" s="3" t="str">
        <f>'SGTO POAI 2024 ARMONIZADO'!S315</f>
        <v>Fortalecimiento del modelo de inspección, vigilancia y control en Salud Ambiental en el departamento del Quindío</v>
      </c>
      <c r="I193" s="220">
        <f>SUM('SGTO POAI 2024 ARMONIZADO'!AU311:AU317)</f>
        <v>953249752.20000005</v>
      </c>
      <c r="J193" s="220">
        <f>SUM('SGTO POAI 2024 ARMONIZADO'!AV311:AV317)</f>
        <v>418123006</v>
      </c>
      <c r="K193" s="176">
        <f t="shared" si="10"/>
        <v>0.43862902144481669</v>
      </c>
      <c r="L193" s="220">
        <f>SUM('SGTO POAI 2024 ARMONIZADO'!AW311:AW317)</f>
        <v>339289675</v>
      </c>
      <c r="M193" s="176">
        <f t="shared" si="11"/>
        <v>0.3559294657218165</v>
      </c>
    </row>
    <row r="194" spans="1:13" s="142" customFormat="1" ht="71.25" customHeight="1" x14ac:dyDescent="0.25">
      <c r="A194" s="108">
        <v>318</v>
      </c>
      <c r="B194" s="108">
        <v>1</v>
      </c>
      <c r="C194" s="14" t="s">
        <v>112</v>
      </c>
      <c r="D194" s="108">
        <f>'SGTO POAI 2024 ARMONIZADO'!I308</f>
        <v>1903</v>
      </c>
      <c r="E194" s="17" t="str">
        <f>'SGTO POAI 2024 ARMONIZADO'!J305</f>
        <v>Inspección, vigilancia y control</v>
      </c>
      <c r="F194" s="108">
        <f>F193+1</f>
        <v>177</v>
      </c>
      <c r="G194" s="108">
        <f>'SGTO POAI 2024 ARMONIZADO'!R308</f>
        <v>2024003630124</v>
      </c>
      <c r="H194" s="112" t="str">
        <f>'SGTO POAI 2024 ARMONIZADO'!S308</f>
        <v>Fortalecimiento de la capacidad resolutiva para la respuesta frente a brotes y emergencias en salud pública, del Sistema de Vigilancia en Salud Pública, y el Laboratorio de Salud Pública del departamento del Quindío</v>
      </c>
      <c r="I194" s="226">
        <f>SUM('SGTO POAI 2024 ARMONIZADO'!AU308+'SGTO POAI 2024 ARMONIZADO'!AU322+'SGTO POAI 2024 ARMONIZADO'!AU327+'SGTO POAI 2024 ARMONIZADO'!AU328)</f>
        <v>687800000</v>
      </c>
      <c r="J194" s="226">
        <f>SUM('SGTO POAI 2024 ARMONIZADO'!AV308+'SGTO POAI 2024 ARMONIZADO'!AV322+'SGTO POAI 2024 ARMONIZADO'!AV327+'SGTO POAI 2024 ARMONIZADO'!AV328)</f>
        <v>455393015</v>
      </c>
      <c r="K194" s="177">
        <f t="shared" si="10"/>
        <v>0.66210092323349812</v>
      </c>
      <c r="L194" s="226">
        <f>SUM('SGTO POAI 2024 ARMONIZADO'!AW308+'SGTO POAI 2024 ARMONIZADO'!AW322+'SGTO POAI 2024 ARMONIZADO'!AW327+'SGTO POAI 2024 ARMONIZADO'!AW328)</f>
        <v>119300000</v>
      </c>
      <c r="M194" s="179">
        <f t="shared" si="11"/>
        <v>0.17345158476301251</v>
      </c>
    </row>
    <row r="195" spans="1:13" s="142" customFormat="1" ht="60" customHeight="1" x14ac:dyDescent="0.25">
      <c r="A195" s="108">
        <v>318</v>
      </c>
      <c r="B195" s="108">
        <v>1</v>
      </c>
      <c r="C195" s="14" t="s">
        <v>112</v>
      </c>
      <c r="D195" s="108">
        <f>'SGTO POAI 2024 ARMONIZADO'!I319</f>
        <v>1903</v>
      </c>
      <c r="E195" s="17" t="str">
        <f>'SGTO POAI 2024 ARMONIZADO'!J307</f>
        <v>Inspección, vigilancia y control</v>
      </c>
      <c r="F195" s="108">
        <f t="shared" ref="F195:F231" si="14">F194+1</f>
        <v>178</v>
      </c>
      <c r="G195" s="108">
        <f>'SGTO POAI 2024 ARMONIZADO'!R319</f>
        <v>2024003630112</v>
      </c>
      <c r="H195" s="112" t="str">
        <f>'SGTO POAI 2024 ARMONIZADO'!S319</f>
        <v>Fortalecimiento de la autoridad sanitaria en los procesos de inspección vigilancia y control a prestadores de servicios de salud en el Departamento del Quindio</v>
      </c>
      <c r="I195" s="226">
        <f>SUM('SGTO POAI 2024 ARMONIZADO'!AU325+'SGTO POAI 2024 ARMONIZADO'!AU373+'SGTO POAI 2024 ARMONIZADO'!AU319)</f>
        <v>37200000</v>
      </c>
      <c r="J195" s="226">
        <f>SUM('SGTO POAI 2024 ARMONIZADO'!AV325+'SGTO POAI 2024 ARMONIZADO'!AV373+'SGTO POAI 2024 ARMONIZADO'!AV319)</f>
        <v>6166666</v>
      </c>
      <c r="K195" s="177">
        <f t="shared" si="10"/>
        <v>0.16577059139784947</v>
      </c>
      <c r="L195" s="226">
        <f>SUM('SGTO POAI 2024 ARMONIZADO'!AW325+'SGTO POAI 2024 ARMONIZADO'!AW373+'SGTO POAI 2024 ARMONIZADO'!AW319)</f>
        <v>0</v>
      </c>
      <c r="M195" s="179">
        <f t="shared" si="11"/>
        <v>0</v>
      </c>
    </row>
    <row r="196" spans="1:13" s="142" customFormat="1" ht="42" customHeight="1" x14ac:dyDescent="0.25">
      <c r="A196" s="108">
        <v>318</v>
      </c>
      <c r="B196" s="108">
        <v>1</v>
      </c>
      <c r="C196" s="14" t="s">
        <v>112</v>
      </c>
      <c r="D196" s="108">
        <f>'SGTO POAI 2024 ARMONIZADO'!I320</f>
        <v>1903</v>
      </c>
      <c r="E196" s="17" t="str">
        <f>'SGTO POAI 2024 ARMONIZADO'!J308</f>
        <v>Inspección, vigilancia y control</v>
      </c>
      <c r="F196" s="108">
        <f t="shared" si="14"/>
        <v>179</v>
      </c>
      <c r="G196" s="108">
        <f>'SGTO POAI 2024 ARMONIZADO'!R320</f>
        <v>2020003630117</v>
      </c>
      <c r="H196" s="112" t="str">
        <f>'SGTO POAI 2024 ARMONIZADO'!S320</f>
        <v xml:space="preserve"> Implementación de programas de promoción social en poblaciones  especiales en el Departamento del Quindío </v>
      </c>
      <c r="I196" s="226">
        <f>SUM('SGTO POAI 2024 ARMONIZADO'!AU320+'SGTO POAI 2024 ARMONIZADO'!AU407)</f>
        <v>214806664</v>
      </c>
      <c r="J196" s="226">
        <f>SUM('SGTO POAI 2024 ARMONIZADO'!AV320+'SGTO POAI 2024 ARMONIZADO'!AV407)</f>
        <v>214806664</v>
      </c>
      <c r="K196" s="177">
        <f t="shared" ref="K196:K259" si="15">J196/I196</f>
        <v>1</v>
      </c>
      <c r="L196" s="226">
        <f>SUM('SGTO POAI 2024 ARMONIZADO'!AW320+'SGTO POAI 2024 ARMONIZADO'!AW407)</f>
        <v>206666664</v>
      </c>
      <c r="M196" s="179">
        <f t="shared" ref="M196:M259" si="16">L196/I196</f>
        <v>0.96210545870215647</v>
      </c>
    </row>
    <row r="197" spans="1:13" s="142" customFormat="1" ht="51.75" customHeight="1" x14ac:dyDescent="0.25">
      <c r="A197" s="108">
        <v>318</v>
      </c>
      <c r="B197" s="108">
        <v>1</v>
      </c>
      <c r="C197" s="14" t="s">
        <v>112</v>
      </c>
      <c r="D197" s="108">
        <f>'SGTO POAI 2024 ARMONIZADO'!I321</f>
        <v>1903</v>
      </c>
      <c r="E197" s="17" t="str">
        <f>'SGTO POAI 2024 ARMONIZADO'!J309</f>
        <v>Inspección, vigilancia y control</v>
      </c>
      <c r="F197" s="108">
        <f t="shared" si="14"/>
        <v>180</v>
      </c>
      <c r="G197" s="108">
        <f>'SGTO POAI 2024 ARMONIZADO'!R321</f>
        <v>2020003630118</v>
      </c>
      <c r="H197" s="112" t="str">
        <f>'SGTO POAI 2024 ARMONIZADO'!S321</f>
        <v xml:space="preserve"> Fortalecimiento de las actividades de vigilancia y control del laboratorio de salud pública en el Departamento del Quindío</v>
      </c>
      <c r="I197" s="226">
        <f>SUM('SGTO POAI 2024 ARMONIZADO'!AU321+'SGTO POAI 2024 ARMONIZADO'!AU323+'SGTO POAI 2024 ARMONIZADO'!AU324)</f>
        <v>596646960.79999995</v>
      </c>
      <c r="J197" s="226">
        <f>SUM('SGTO POAI 2024 ARMONIZADO'!AV321+'SGTO POAI 2024 ARMONIZADO'!AV323+'SGTO POAI 2024 ARMONIZADO'!AV324)</f>
        <v>574028718.79999995</v>
      </c>
      <c r="K197" s="177">
        <f t="shared" si="15"/>
        <v>0.9620910798411294</v>
      </c>
      <c r="L197" s="226">
        <f>SUM('SGTO POAI 2024 ARMONIZADO'!AW321+'SGTO POAI 2024 ARMONIZADO'!AW323+'SGTO POAI 2024 ARMONIZADO'!AW324)</f>
        <v>469167098.55000001</v>
      </c>
      <c r="M197" s="179">
        <f t="shared" si="16"/>
        <v>0.78633954310423104</v>
      </c>
    </row>
    <row r="198" spans="1:13" s="142" customFormat="1" ht="48" customHeight="1" x14ac:dyDescent="0.25">
      <c r="A198" s="108">
        <v>318</v>
      </c>
      <c r="B198" s="108">
        <v>1</v>
      </c>
      <c r="C198" s="14" t="s">
        <v>112</v>
      </c>
      <c r="D198" s="108">
        <f>'SGTO POAI 2024 ARMONIZADO'!I326</f>
        <v>1903</v>
      </c>
      <c r="E198" s="17" t="str">
        <f>'SGTO POAI 2024 ARMONIZADO'!J311</f>
        <v>Inspección, vigilancia y control</v>
      </c>
      <c r="F198" s="108">
        <f t="shared" si="14"/>
        <v>181</v>
      </c>
      <c r="G198" s="108">
        <f>'SGTO POAI 2024 ARMONIZADO'!R326</f>
        <v>2020003630119</v>
      </c>
      <c r="H198" s="112" t="str">
        <f>'SGTO POAI 2024 ARMONIZADO'!S326</f>
        <v xml:space="preserve"> Asistencia técnica para el fortalecimiento de la gestión de las entidades territoriales del Departamento del Quindío  </v>
      </c>
      <c r="I198" s="226">
        <f>SUM('SGTO POAI 2024 ARMONIZADO'!AU326)</f>
        <v>82360000</v>
      </c>
      <c r="J198" s="226">
        <f>SUM('SGTO POAI 2024 ARMONIZADO'!AV326)</f>
        <v>82360000</v>
      </c>
      <c r="K198" s="177">
        <f t="shared" si="15"/>
        <v>1</v>
      </c>
      <c r="L198" s="226">
        <f>SUM('SGTO POAI 2024 ARMONIZADO'!AW326)</f>
        <v>82360000</v>
      </c>
      <c r="M198" s="179">
        <f t="shared" si="16"/>
        <v>1</v>
      </c>
    </row>
    <row r="199" spans="1:13" s="142" customFormat="1" ht="49.5" customHeight="1" x14ac:dyDescent="0.25">
      <c r="A199" s="108">
        <v>318</v>
      </c>
      <c r="B199" s="108">
        <v>1</v>
      </c>
      <c r="C199" s="14" t="s">
        <v>112</v>
      </c>
      <c r="D199" s="108">
        <f>'SGTO POAI 2024 ARMONIZADO'!I329</f>
        <v>1903</v>
      </c>
      <c r="E199" s="17" t="str">
        <f>'SGTO POAI 2024 ARMONIZADO'!J314</f>
        <v>Inspección, vigilancia y control</v>
      </c>
      <c r="F199" s="108">
        <f t="shared" si="14"/>
        <v>182</v>
      </c>
      <c r="G199" s="108">
        <f>'SGTO POAI 2024 ARMONIZADO'!R329</f>
        <v>2020003630120</v>
      </c>
      <c r="H199" s="112" t="str">
        <f>'SGTO POAI 2024 ARMONIZADO'!S329</f>
        <v>Asesoría y apoyo al proceso del sistema obligatorio de garantía de calidad de los prestadores de salud en el Departamento del Quindío</v>
      </c>
      <c r="I199" s="226">
        <f>SUM('SGTO POAI 2024 ARMONIZADO'!AU329)</f>
        <v>104146666</v>
      </c>
      <c r="J199" s="226">
        <f>SUM('SGTO POAI 2024 ARMONIZADO'!AV329)</f>
        <v>104146666</v>
      </c>
      <c r="K199" s="177">
        <f t="shared" si="15"/>
        <v>1</v>
      </c>
      <c r="L199" s="226">
        <f>SUM('SGTO POAI 2024 ARMONIZADO'!AW329)</f>
        <v>86946666</v>
      </c>
      <c r="M199" s="179">
        <f t="shared" si="16"/>
        <v>0.83484828981467352</v>
      </c>
    </row>
    <row r="200" spans="1:13" s="142" customFormat="1" ht="40.5" customHeight="1" x14ac:dyDescent="0.25">
      <c r="A200" s="108">
        <v>318</v>
      </c>
      <c r="B200" s="108">
        <v>1</v>
      </c>
      <c r="C200" s="14" t="s">
        <v>112</v>
      </c>
      <c r="D200" s="108">
        <f>'SGTO POAI 2024 ARMONIZADO'!I330</f>
        <v>1903</v>
      </c>
      <c r="E200" s="17" t="str">
        <f>'SGTO POAI 2024 ARMONIZADO'!J315</f>
        <v>Inspección, vigilancia y control</v>
      </c>
      <c r="F200" s="108">
        <f t="shared" si="14"/>
        <v>183</v>
      </c>
      <c r="G200" s="108">
        <f>'SGTO POAI 2024 ARMONIZADO'!R330</f>
        <v>2020003630121</v>
      </c>
      <c r="H200" s="112" t="str">
        <f>'SGTO POAI 2024 ARMONIZADO'!S330</f>
        <v xml:space="preserve">Apoyo operativo a la inversión social en salud en el Departamento del Quindío </v>
      </c>
      <c r="I200" s="226">
        <f>SUM('SGTO POAI 2024 ARMONIZADO'!AU330:AU331)</f>
        <v>82156666</v>
      </c>
      <c r="J200" s="226">
        <f>SUM('SGTO POAI 2024 ARMONIZADO'!AV330:AV331)</f>
        <v>82156666</v>
      </c>
      <c r="K200" s="177">
        <f t="shared" si="15"/>
        <v>1</v>
      </c>
      <c r="L200" s="226">
        <f>SUM('SGTO POAI 2024 ARMONIZADO'!AW330:AW331)</f>
        <v>82156666</v>
      </c>
      <c r="M200" s="179">
        <f t="shared" si="16"/>
        <v>1</v>
      </c>
    </row>
    <row r="201" spans="1:13" s="142" customFormat="1" ht="39.75" customHeight="1" x14ac:dyDescent="0.25">
      <c r="A201" s="108">
        <v>318</v>
      </c>
      <c r="B201" s="108">
        <v>1</v>
      </c>
      <c r="C201" s="14" t="s">
        <v>112</v>
      </c>
      <c r="D201" s="108">
        <f>'SGTO POAI 2024 ARMONIZADO'!I332</f>
        <v>1903</v>
      </c>
      <c r="E201" s="17" t="str">
        <f>'SGTO POAI 2024 ARMONIZADO'!J317</f>
        <v>Inspección, vigilancia y control</v>
      </c>
      <c r="F201" s="108">
        <f t="shared" si="14"/>
        <v>184</v>
      </c>
      <c r="G201" s="108">
        <f>'SGTO POAI 2024 ARMONIZADO'!R332</f>
        <v>2024003630110</v>
      </c>
      <c r="H201" s="112" t="str">
        <f>'SGTO POAI 2024 ARMONIZADO'!S332</f>
        <v xml:space="preserve">Apoyo operativo a la inversión social en salud por y para la gente en el Departamento del Quindío </v>
      </c>
      <c r="I201" s="226">
        <f>SUM('SGTO POAI 2024 ARMONIZADO'!AU332:AU337)</f>
        <v>67843334</v>
      </c>
      <c r="J201" s="226">
        <f>SUM('SGTO POAI 2024 ARMONIZADO'!AV332:AV337)</f>
        <v>57843334</v>
      </c>
      <c r="K201" s="177">
        <f t="shared" si="15"/>
        <v>0.85260158352477189</v>
      </c>
      <c r="L201" s="226">
        <f>SUM('SGTO POAI 2024 ARMONIZADO'!AW332:AW337)</f>
        <v>32300000</v>
      </c>
      <c r="M201" s="179">
        <f t="shared" si="16"/>
        <v>0.47609688521498661</v>
      </c>
    </row>
    <row r="202" spans="1:13" s="142" customFormat="1" ht="41.25" customHeight="1" x14ac:dyDescent="0.25">
      <c r="A202" s="108">
        <v>318</v>
      </c>
      <c r="B202" s="108">
        <v>1</v>
      </c>
      <c r="C202" s="14" t="s">
        <v>112</v>
      </c>
      <c r="D202" s="108">
        <f>'SGTO POAI 2024 ARMONIZADO'!I338</f>
        <v>1905</v>
      </c>
      <c r="E202" s="109" t="str">
        <f>'SGTO POAI 2024 ARMONIZADO'!J338</f>
        <v>Salud pública</v>
      </c>
      <c r="F202" s="108">
        <f t="shared" si="14"/>
        <v>185</v>
      </c>
      <c r="G202" s="108">
        <f>'SGTO POAI 2024 ARMONIZADO'!R338</f>
        <v>2020003630122</v>
      </c>
      <c r="H202" s="112" t="str">
        <f>'SGTO POAI 2024 ARMONIZADO'!S338</f>
        <v xml:space="preserve">Aprovechamiento biológico y consumo de  alimentos inocuos  en el Departamento del Quindío </v>
      </c>
      <c r="I202" s="226">
        <f>SUM('SGTO POAI 2024 ARMONIZADO'!AU338:AU339)</f>
        <v>45853333</v>
      </c>
      <c r="J202" s="226">
        <f>SUM('SGTO POAI 2024 ARMONIZADO'!AV338:AV339)</f>
        <v>45853333</v>
      </c>
      <c r="K202" s="177">
        <f t="shared" si="15"/>
        <v>1</v>
      </c>
      <c r="L202" s="226">
        <f>SUM('SGTO POAI 2024 ARMONIZADO'!AW338:AW339)</f>
        <v>45853333</v>
      </c>
      <c r="M202" s="179">
        <f t="shared" si="16"/>
        <v>1</v>
      </c>
    </row>
    <row r="203" spans="1:13" s="142" customFormat="1" ht="46.5" customHeight="1" x14ac:dyDescent="0.25">
      <c r="A203" s="108">
        <v>318</v>
      </c>
      <c r="B203" s="108">
        <v>1</v>
      </c>
      <c r="C203" s="14" t="s">
        <v>112</v>
      </c>
      <c r="D203" s="108">
        <f>'SGTO POAI 2024 ARMONIZADO'!I341</f>
        <v>1905</v>
      </c>
      <c r="E203" s="109" t="str">
        <f>'SGTO POAI 2024 ARMONIZADO'!J341</f>
        <v>Salud pública</v>
      </c>
      <c r="F203" s="108">
        <f t="shared" si="14"/>
        <v>186</v>
      </c>
      <c r="G203" s="108">
        <f>'SGTO POAI 2024 ARMONIZADO'!R341</f>
        <v>2024003630122</v>
      </c>
      <c r="H203" s="112" t="str">
        <f>'SGTO POAI 2024 ARMONIZADO'!S341</f>
        <v>Fortalecimiento de la gestión del riesgo sanitario y ambiental para la vigilancia de salud pública en el Departamento del Quindío</v>
      </c>
      <c r="I203" s="226">
        <f>SUM('SGTO POAI 2024 ARMONIZADO'!AU341:AU348)</f>
        <v>719937413.52999997</v>
      </c>
      <c r="J203" s="226">
        <f>SUM('SGTO POAI 2024 ARMONIZADO'!AV341:AV348)</f>
        <v>179157691</v>
      </c>
      <c r="K203" s="177">
        <f t="shared" si="15"/>
        <v>0.2488517579903971</v>
      </c>
      <c r="L203" s="226">
        <f>SUM('SGTO POAI 2024 ARMONIZADO'!AW341:AW348)</f>
        <v>112628593</v>
      </c>
      <c r="M203" s="179">
        <f t="shared" si="16"/>
        <v>0.1564422002292658</v>
      </c>
    </row>
    <row r="204" spans="1:13" s="142" customFormat="1" ht="51.75" customHeight="1" x14ac:dyDescent="0.25">
      <c r="A204" s="108">
        <v>318</v>
      </c>
      <c r="B204" s="108">
        <v>1</v>
      </c>
      <c r="C204" s="14" t="s">
        <v>112</v>
      </c>
      <c r="D204" s="108">
        <f>'SGTO POAI 2024 ARMONIZADO'!I349</f>
        <v>1905</v>
      </c>
      <c r="E204" s="109" t="str">
        <f>'SGTO POAI 2024 ARMONIZADO'!J349</f>
        <v>Salud pública</v>
      </c>
      <c r="F204" s="108">
        <f t="shared" si="14"/>
        <v>187</v>
      </c>
      <c r="G204" s="108">
        <f>'SGTO POAI 2024 ARMONIZADO'!R349</f>
        <v>2020003630123</v>
      </c>
      <c r="H204" s="112" t="str">
        <f>'SGTO POAI 2024 ARMONIZADO'!S349</f>
        <v>Control en Salud Ambiental para la consecución de un estado de vida saludable de la población  del  Departamento del Quindío.</v>
      </c>
      <c r="I204" s="226">
        <f>'SGTO POAI 2024 ARMONIZADO'!AU340+'SGTO POAI 2024 ARMONIZADO'!AU349+'SGTO POAI 2024 ARMONIZADO'!AU350+'SGTO POAI 2024 ARMONIZADO'!AU351+'SGTO POAI 2024 ARMONIZADO'!AU352</f>
        <v>97547760</v>
      </c>
      <c r="J204" s="226">
        <f>'SGTO POAI 2024 ARMONIZADO'!AV340+'SGTO POAI 2024 ARMONIZADO'!AV349+'SGTO POAI 2024 ARMONIZADO'!AV350+'SGTO POAI 2024 ARMONIZADO'!AV351+'SGTO POAI 2024 ARMONIZADO'!AV352</f>
        <v>97547760</v>
      </c>
      <c r="K204" s="177">
        <f t="shared" si="15"/>
        <v>1</v>
      </c>
      <c r="L204" s="226">
        <f>'SGTO POAI 2024 ARMONIZADO'!AW340+'SGTO POAI 2024 ARMONIZADO'!AW349+'SGTO POAI 2024 ARMONIZADO'!AW350+'SGTO POAI 2024 ARMONIZADO'!AW351+'SGTO POAI 2024 ARMONIZADO'!AW352</f>
        <v>77171244.979999989</v>
      </c>
      <c r="M204" s="179">
        <f t="shared" si="16"/>
        <v>0.79111242513410851</v>
      </c>
    </row>
    <row r="205" spans="1:13" s="142" customFormat="1" ht="45" customHeight="1" x14ac:dyDescent="0.25">
      <c r="A205" s="108">
        <v>318</v>
      </c>
      <c r="B205" s="108">
        <v>1</v>
      </c>
      <c r="C205" s="14" t="s">
        <v>112</v>
      </c>
      <c r="D205" s="108">
        <f>'SGTO POAI 2024 ARMONIZADO'!I353</f>
        <v>1905</v>
      </c>
      <c r="E205" s="109" t="str">
        <f>'SGTO POAI 2024 ARMONIZADO'!J353</f>
        <v>Salud pública</v>
      </c>
      <c r="F205" s="108">
        <f t="shared" si="14"/>
        <v>188</v>
      </c>
      <c r="G205" s="108">
        <f>'SGTO POAI 2024 ARMONIZADO'!R353</f>
        <v>2020003630124</v>
      </c>
      <c r="H205" s="112" t="str">
        <f>'SGTO POAI 2024 ARMONIZADO'!S353</f>
        <v xml:space="preserve">Fortalecimiento de acciones propias a los derechos sexuales y reproductivos en el Departamento del Quindío. </v>
      </c>
      <c r="I205" s="226">
        <f>SUM('SGTO POAI 2024 ARMONIZADO'!AU353:AU354)</f>
        <v>66600000</v>
      </c>
      <c r="J205" s="226">
        <f>SUM('SGTO POAI 2024 ARMONIZADO'!AV353:AV354)</f>
        <v>66600000</v>
      </c>
      <c r="K205" s="177">
        <f t="shared" si="15"/>
        <v>1</v>
      </c>
      <c r="L205" s="226">
        <f>SUM('SGTO POAI 2024 ARMONIZADO'!AW353:AW354)</f>
        <v>66600000</v>
      </c>
      <c r="M205" s="179">
        <f t="shared" si="16"/>
        <v>1</v>
      </c>
    </row>
    <row r="206" spans="1:13" s="142" customFormat="1" ht="42.75" customHeight="1" x14ac:dyDescent="0.25">
      <c r="A206" s="108">
        <v>318</v>
      </c>
      <c r="B206" s="108">
        <v>1</v>
      </c>
      <c r="C206" s="14" t="s">
        <v>112</v>
      </c>
      <c r="D206" s="108">
        <f>'SGTO POAI 2024 ARMONIZADO'!I354</f>
        <v>1905</v>
      </c>
      <c r="E206" s="109" t="str">
        <f>'SGTO POAI 2024 ARMONIZADO'!J354</f>
        <v>Salud pública</v>
      </c>
      <c r="F206" s="108">
        <f t="shared" si="14"/>
        <v>189</v>
      </c>
      <c r="G206" s="108">
        <f>'SGTO POAI 2024 ARMONIZADO'!R355</f>
        <v>2024003630107</v>
      </c>
      <c r="H206" s="112" t="str">
        <f>'SGTO POAI 2024 ARMONIZADO'!S355</f>
        <v>Prevencion y gestion de riesgo de los eventos en salud publica relacionados con la salud sexual y reproductiva en el Departamento del Quindio</v>
      </c>
      <c r="I206" s="226">
        <f>SUM('SGTO POAI 2024 ARMONIZADO'!AU355:AU359)</f>
        <v>94800000</v>
      </c>
      <c r="J206" s="226">
        <f>SUM('SGTO POAI 2024 ARMONIZADO'!AV355:AV359)</f>
        <v>59816665</v>
      </c>
      <c r="K206" s="177">
        <f t="shared" si="15"/>
        <v>0.63097747890295364</v>
      </c>
      <c r="L206" s="226">
        <f>SUM('SGTO POAI 2024 ARMONIZADO'!AW355:AW359)</f>
        <v>22200000</v>
      </c>
      <c r="M206" s="179">
        <f t="shared" si="16"/>
        <v>0.23417721518987342</v>
      </c>
    </row>
    <row r="207" spans="1:13" s="142" customFormat="1" ht="48" customHeight="1" x14ac:dyDescent="0.25">
      <c r="A207" s="108">
        <v>318</v>
      </c>
      <c r="B207" s="108">
        <v>1</v>
      </c>
      <c r="C207" s="14" t="s">
        <v>112</v>
      </c>
      <c r="D207" s="108">
        <f>'SGTO POAI 2024 ARMONIZADO'!I359</f>
        <v>1905</v>
      </c>
      <c r="E207" s="109" t="str">
        <f>'SGTO POAI 2024 ARMONIZADO'!J359</f>
        <v>Salud pública</v>
      </c>
      <c r="F207" s="108">
        <f t="shared" si="14"/>
        <v>190</v>
      </c>
      <c r="G207" s="108">
        <f>'SGTO POAI 2024 ARMONIZADO'!R360</f>
        <v>2020003630125</v>
      </c>
      <c r="H207" s="112" t="str">
        <f>'SGTO POAI 2024 ARMONIZADO'!S360</f>
        <v>Consolidación de acciones de promoción de la salud y prevención primaria en salud mental en el Departamento del Quindío.</v>
      </c>
      <c r="I207" s="226">
        <f>SUM('SGTO POAI 2024 ARMONIZADO'!AU360+'SGTO POAI 2024 ARMONIZADO'!AU361+'SGTO POAI 2024 ARMONIZADO'!AU408)</f>
        <v>88400000</v>
      </c>
      <c r="J207" s="226">
        <f>SUM('SGTO POAI 2024 ARMONIZADO'!AV360+'SGTO POAI 2024 ARMONIZADO'!AV361+'SGTO POAI 2024 ARMONIZADO'!AV408)</f>
        <v>88400000</v>
      </c>
      <c r="K207" s="177">
        <f t="shared" si="15"/>
        <v>1</v>
      </c>
      <c r="L207" s="226">
        <f>SUM('SGTO POAI 2024 ARMONIZADO'!AW360+'SGTO POAI 2024 ARMONIZADO'!AW361+'SGTO POAI 2024 ARMONIZADO'!AW408)</f>
        <v>86000000</v>
      </c>
      <c r="M207" s="179">
        <f t="shared" si="16"/>
        <v>0.97285067873303166</v>
      </c>
    </row>
    <row r="208" spans="1:13" s="142" customFormat="1" ht="48" customHeight="1" x14ac:dyDescent="0.25">
      <c r="A208" s="108">
        <v>318</v>
      </c>
      <c r="B208" s="108">
        <v>1</v>
      </c>
      <c r="C208" s="14" t="s">
        <v>112</v>
      </c>
      <c r="D208" s="108">
        <f>'SGTO POAI 2024 ARMONIZADO'!I361</f>
        <v>1905</v>
      </c>
      <c r="E208" s="109" t="str">
        <f>'SGTO POAI 2024 ARMONIZADO'!J361</f>
        <v>Salud pública</v>
      </c>
      <c r="F208" s="108">
        <f t="shared" si="14"/>
        <v>191</v>
      </c>
      <c r="G208" s="108">
        <f>'SGTO POAI 2024 ARMONIZADO'!R362</f>
        <v>2024003630120</v>
      </c>
      <c r="H208" s="112" t="str">
        <f>'SGTO POAI 2024 ARMONIZADO'!S362</f>
        <v>Prevención de la salud mental y de los factores de riesgo asociados a la salud mental y el consumo de sustancias psicoactivas del  Quindio</v>
      </c>
      <c r="I208" s="226">
        <f>SUM('SGTO POAI 2024 ARMONIZADO'!AU362:AU367)</f>
        <v>102300000</v>
      </c>
      <c r="J208" s="226">
        <f>SUM('SGTO POAI 2024 ARMONIZADO'!AV362:AV367)</f>
        <v>58583332</v>
      </c>
      <c r="K208" s="177">
        <f t="shared" si="15"/>
        <v>0.57266209188660799</v>
      </c>
      <c r="L208" s="226">
        <f>SUM('SGTO POAI 2024 ARMONIZADO'!AW362:AW367)</f>
        <v>29600000</v>
      </c>
      <c r="M208" s="179">
        <f t="shared" si="16"/>
        <v>0.28934506353861195</v>
      </c>
    </row>
    <row r="209" spans="1:13" s="142" customFormat="1" ht="50.25" customHeight="1" x14ac:dyDescent="0.25">
      <c r="A209" s="108">
        <v>318</v>
      </c>
      <c r="B209" s="108">
        <v>1</v>
      </c>
      <c r="C209" s="14" t="s">
        <v>112</v>
      </c>
      <c r="D209" s="108" t="str">
        <f>'SGTO POAI 2024 ARMONIZADO'!I367</f>
        <v>1905</v>
      </c>
      <c r="E209" s="109" t="str">
        <f>'SGTO POAI 2024 ARMONIZADO'!J367</f>
        <v>Salud Pública</v>
      </c>
      <c r="F209" s="108">
        <f t="shared" si="14"/>
        <v>192</v>
      </c>
      <c r="G209" s="108">
        <f>'SGTO POAI 2024 ARMONIZADO'!R368</f>
        <v>2020003630126</v>
      </c>
      <c r="H209" s="112" t="str">
        <f>'SGTO POAI 2024 ARMONIZADO'!S368</f>
        <v>Generación de estilos de vida saludable y control y vigilancia en la gestión del riesgo de condiciones no transmisibles en el  Departamento del Quindío.</v>
      </c>
      <c r="I209" s="226">
        <f>SUM('SGTO POAI 2024 ARMONIZADO'!AU368+'SGTO POAI 2024 ARMONIZADO'!AU409)</f>
        <v>104286665</v>
      </c>
      <c r="J209" s="226">
        <f>SUM('SGTO POAI 2024 ARMONIZADO'!AV368+'SGTO POAI 2024 ARMONIZADO'!AV409)</f>
        <v>104286665</v>
      </c>
      <c r="K209" s="177">
        <f t="shared" si="15"/>
        <v>1</v>
      </c>
      <c r="L209" s="226">
        <f>SUM('SGTO POAI 2024 ARMONIZADO'!AW368+'SGTO POAI 2024 ARMONIZADO'!AW409)</f>
        <v>104286665</v>
      </c>
      <c r="M209" s="179">
        <f t="shared" si="16"/>
        <v>1</v>
      </c>
    </row>
    <row r="210" spans="1:13" s="142" customFormat="1" ht="51.75" customHeight="1" x14ac:dyDescent="0.25">
      <c r="A210" s="108">
        <v>318</v>
      </c>
      <c r="B210" s="108">
        <v>1</v>
      </c>
      <c r="C210" s="14" t="s">
        <v>112</v>
      </c>
      <c r="D210" s="108">
        <f>'SGTO POAI 2024 ARMONIZADO'!I368</f>
        <v>1905</v>
      </c>
      <c r="E210" s="109" t="str">
        <f>'SGTO POAI 2024 ARMONIZADO'!J368</f>
        <v>Salud pública</v>
      </c>
      <c r="F210" s="108">
        <f t="shared" si="14"/>
        <v>193</v>
      </c>
      <c r="G210" s="108">
        <f>'SGTO POAI 2024 ARMONIZADO'!R369</f>
        <v>2020003630127</v>
      </c>
      <c r="H210" s="112" t="str">
        <f>'SGTO POAI 2024 ARMONIZADO'!S369</f>
        <v xml:space="preserve">Fortalecimiento de acciones de promoción, prevención y protección específica para la población infantil en el Departamento del Quindío.  </v>
      </c>
      <c r="I210" s="226">
        <f>SUM('SGTO POAI 2024 ARMONIZADO'!AU369+'SGTO POAI 2024 ARMONIZADO'!AU372+'SGTO POAI 2024 ARMONIZADO'!AU375)</f>
        <v>213023332</v>
      </c>
      <c r="J210" s="226">
        <f>SUM('SGTO POAI 2024 ARMONIZADO'!AV369+'SGTO POAI 2024 ARMONIZADO'!AV372+'SGTO POAI 2024 ARMONIZADO'!AV375)</f>
        <v>205159332</v>
      </c>
      <c r="K210" s="177">
        <f t="shared" si="15"/>
        <v>0.96308385599752044</v>
      </c>
      <c r="L210" s="226">
        <f>SUM('SGTO POAI 2024 ARMONIZADO'!AW369+'SGTO POAI 2024 ARMONIZADO'!AW372+'SGTO POAI 2024 ARMONIZADO'!AW375)</f>
        <v>197896132</v>
      </c>
      <c r="M210" s="179">
        <f t="shared" si="16"/>
        <v>0.9289880603313444</v>
      </c>
    </row>
    <row r="211" spans="1:13" s="142" customFormat="1" ht="60" customHeight="1" x14ac:dyDescent="0.25">
      <c r="A211" s="108">
        <v>318</v>
      </c>
      <c r="B211" s="108">
        <v>1</v>
      </c>
      <c r="C211" s="14" t="s">
        <v>112</v>
      </c>
      <c r="D211" s="108">
        <f>'SGTO POAI 2024 ARMONIZADO'!I369</f>
        <v>1905</v>
      </c>
      <c r="E211" s="109" t="str">
        <f>'SGTO POAI 2024 ARMONIZADO'!J369</f>
        <v>Salud pública</v>
      </c>
      <c r="F211" s="108">
        <f t="shared" si="14"/>
        <v>194</v>
      </c>
      <c r="G211" s="108">
        <f>'SGTO POAI 2024 ARMONIZADO'!R370</f>
        <v>2024003630111</v>
      </c>
      <c r="H211" s="112" t="str">
        <f>'SGTO POAI 2024 ARMONIZADO'!S370</f>
        <v>Fortalecimiento de la atención Integral en Salud de niños y niñas de la primera infancia e infancia con enfoque de curso de vida en el Departamento del Quindío</v>
      </c>
      <c r="I211" s="226">
        <f>SUM('SGTO POAI 2024 ARMONIZADO'!AU370+'SGTO POAI 2024 ARMONIZADO'!AU371+'SGTO POAI 2024 ARMONIZADO'!AU374+'SGTO POAI 2024 ARMONIZADO'!AU376+'SGTO POAI 2024 ARMONIZADO'!AU377+'SGTO POAI 2024 ARMONIZADO'!AU378)</f>
        <v>304910225</v>
      </c>
      <c r="J211" s="226">
        <f>SUM('SGTO POAI 2024 ARMONIZADO'!AV370+'SGTO POAI 2024 ARMONIZADO'!AV371+'SGTO POAI 2024 ARMONIZADO'!AV374+'SGTO POAI 2024 ARMONIZADO'!AV376+'SGTO POAI 2024 ARMONIZADO'!AV377+'SGTO POAI 2024 ARMONIZADO'!AV378)</f>
        <v>127696349</v>
      </c>
      <c r="K211" s="177">
        <f t="shared" si="15"/>
        <v>0.41879982542402439</v>
      </c>
      <c r="L211" s="226">
        <f>SUM('SGTO POAI 2024 ARMONIZADO'!AW370+'SGTO POAI 2024 ARMONIZADO'!AW371+'SGTO POAI 2024 ARMONIZADO'!AW374+'SGTO POAI 2024 ARMONIZADO'!AW376+'SGTO POAI 2024 ARMONIZADO'!AW377+'SGTO POAI 2024 ARMONIZADO'!AW378)</f>
        <v>64300000</v>
      </c>
      <c r="M211" s="179">
        <f t="shared" si="16"/>
        <v>0.2108817439625057</v>
      </c>
    </row>
    <row r="212" spans="1:13" s="142" customFormat="1" ht="53.25" customHeight="1" x14ac:dyDescent="0.25">
      <c r="A212" s="108">
        <v>318</v>
      </c>
      <c r="B212" s="108">
        <v>1</v>
      </c>
      <c r="C212" s="14" t="s">
        <v>112</v>
      </c>
      <c r="D212" s="108">
        <f>'SGTO POAI 2024 ARMONIZADO'!I378</f>
        <v>1905</v>
      </c>
      <c r="E212" s="109" t="str">
        <f>'SGTO POAI 2024 ARMONIZADO'!J378</f>
        <v>Salud Pública</v>
      </c>
      <c r="F212" s="108">
        <f t="shared" si="14"/>
        <v>195</v>
      </c>
      <c r="G212" s="108">
        <f>'SGTO POAI 2024 ARMONIZADO'!R379</f>
        <v>2020003630128</v>
      </c>
      <c r="H212" s="112" t="str">
        <f>'SGTO POAI 2024 ARMONIZADO'!S379</f>
        <v xml:space="preserve">Difusión de la estrategia de gestión integral y de control en vectores, zoonosis y cambio climático del Departamento del Quindío.   </v>
      </c>
      <c r="I212" s="226">
        <f>SUM('SGTO POAI 2024 ARMONIZADO'!AU379+'SGTO POAI 2024 ARMONIZADO'!AU410)</f>
        <v>543237937</v>
      </c>
      <c r="J212" s="226">
        <f>SUM('SGTO POAI 2024 ARMONIZADO'!AV379+'SGTO POAI 2024 ARMONIZADO'!AV410)</f>
        <v>540487937</v>
      </c>
      <c r="K212" s="177">
        <f t="shared" si="15"/>
        <v>0.99493776149878865</v>
      </c>
      <c r="L212" s="226">
        <f>SUM('SGTO POAI 2024 ARMONIZADO'!AW379+'SGTO POAI 2024 ARMONIZADO'!AW410)</f>
        <v>540021237</v>
      </c>
      <c r="M212" s="179">
        <f t="shared" si="16"/>
        <v>0.99407865360478309</v>
      </c>
    </row>
    <row r="213" spans="1:13" s="142" customFormat="1" ht="48" customHeight="1" x14ac:dyDescent="0.25">
      <c r="A213" s="108">
        <v>318</v>
      </c>
      <c r="B213" s="108">
        <v>1</v>
      </c>
      <c r="C213" s="14" t="s">
        <v>112</v>
      </c>
      <c r="D213" s="108">
        <f>'SGTO POAI 2024 ARMONIZADO'!I379</f>
        <v>1905</v>
      </c>
      <c r="E213" s="109" t="str">
        <f>'SGTO POAI 2024 ARMONIZADO'!J379</f>
        <v>Salud pública</v>
      </c>
      <c r="F213" s="108">
        <f t="shared" si="14"/>
        <v>196</v>
      </c>
      <c r="G213" s="108">
        <f>'SGTO POAI 2024 ARMONIZADO'!R380</f>
        <v>2020003630129</v>
      </c>
      <c r="H213" s="112" t="str">
        <f>'SGTO POAI 2024 ARMONIZADO'!S380</f>
        <v xml:space="preserve">Fortalecimiento de la inclusión social para la disminución del riesgo de contraer enfermedades transmisibles en el Departamento del Quindío.  </v>
      </c>
      <c r="I213" s="226">
        <f>SUM('SGTO POAI 2024 ARMONIZADO'!AU380+'SGTO POAI 2024 ARMONIZADO'!AU411)</f>
        <v>35576666</v>
      </c>
      <c r="J213" s="226">
        <f>SUM('SGTO POAI 2024 ARMONIZADO'!AV380+'SGTO POAI 2024 ARMONIZADO'!AV411)</f>
        <v>35576666</v>
      </c>
      <c r="K213" s="177">
        <f t="shared" si="15"/>
        <v>1</v>
      </c>
      <c r="L213" s="226">
        <f>SUM('SGTO POAI 2024 ARMONIZADO'!AW380+'SGTO POAI 2024 ARMONIZADO'!AW411)</f>
        <v>32000000</v>
      </c>
      <c r="M213" s="179">
        <f t="shared" si="16"/>
        <v>0.8994659589518591</v>
      </c>
    </row>
    <row r="214" spans="1:13" s="142" customFormat="1" ht="44.25" customHeight="1" x14ac:dyDescent="0.25">
      <c r="A214" s="108">
        <v>318</v>
      </c>
      <c r="B214" s="108">
        <v>1</v>
      </c>
      <c r="C214" s="14" t="s">
        <v>112</v>
      </c>
      <c r="D214" s="108">
        <f>'SGTO POAI 2024 ARMONIZADO'!I380</f>
        <v>1905</v>
      </c>
      <c r="E214" s="109" t="str">
        <f>'SGTO POAI 2024 ARMONIZADO'!J380</f>
        <v>Salud pública</v>
      </c>
      <c r="F214" s="108">
        <f t="shared" si="14"/>
        <v>197</v>
      </c>
      <c r="G214" s="108">
        <f>'SGTO POAI 2024 ARMONIZADO'!R381</f>
        <v>2020003630133</v>
      </c>
      <c r="H214" s="112" t="str">
        <f>'SGTO POAI 2024 ARMONIZADO'!S381</f>
        <v xml:space="preserve">Fortalecimiento del sistema de vigilancia en salud pública en el Departamento del Quindío. </v>
      </c>
      <c r="I214" s="226">
        <f>SUM('SGTO POAI 2024 ARMONIZADO'!AU381)</f>
        <v>183519997</v>
      </c>
      <c r="J214" s="226">
        <f>SUM('SGTO POAI 2024 ARMONIZADO'!AV381)</f>
        <v>183519997</v>
      </c>
      <c r="K214" s="177">
        <f t="shared" si="15"/>
        <v>1</v>
      </c>
      <c r="L214" s="226">
        <f>SUM('SGTO POAI 2024 ARMONIZADO'!AW381)</f>
        <v>173299997</v>
      </c>
      <c r="M214" s="179">
        <f t="shared" si="16"/>
        <v>0.94431124582025794</v>
      </c>
    </row>
    <row r="215" spans="1:13" s="142" customFormat="1" ht="45" customHeight="1" x14ac:dyDescent="0.25">
      <c r="A215" s="108">
        <v>318</v>
      </c>
      <c r="B215" s="108">
        <v>1</v>
      </c>
      <c r="C215" s="14" t="s">
        <v>112</v>
      </c>
      <c r="D215" s="108">
        <f>'SGTO POAI 2024 ARMONIZADO'!I381</f>
        <v>1905</v>
      </c>
      <c r="E215" s="109" t="str">
        <f>'SGTO POAI 2024 ARMONIZADO'!J381</f>
        <v>Salud pública</v>
      </c>
      <c r="F215" s="108">
        <f t="shared" si="14"/>
        <v>198</v>
      </c>
      <c r="G215" s="108">
        <f>'SGTO POAI 2024 ARMONIZADO'!R382</f>
        <v>2024003630108</v>
      </c>
      <c r="H215" s="115" t="str">
        <f>'SGTO POAI 2024 ARMONIZADO'!S382</f>
        <v xml:space="preserve">Fortalecimiento del capital estructural del Sistema de Vigilancia en Salud Pública del Departamento del Quindío
</v>
      </c>
      <c r="I215" s="226">
        <f>SUM('SGTO POAI 2024 ARMONIZADO'!AU382:AU386)</f>
        <v>758565182</v>
      </c>
      <c r="J215" s="226">
        <f>SUM('SGTO POAI 2024 ARMONIZADO'!AV382:AV386)</f>
        <v>144559999</v>
      </c>
      <c r="K215" s="177">
        <f t="shared" si="15"/>
        <v>0.1905703061915647</v>
      </c>
      <c r="L215" s="226">
        <f>SUM('SGTO POAI 2024 ARMONIZADO'!AW382:AW386)</f>
        <v>64800000</v>
      </c>
      <c r="M215" s="179">
        <f t="shared" si="16"/>
        <v>8.5424432253997123E-2</v>
      </c>
    </row>
    <row r="216" spans="1:13" s="142" customFormat="1" ht="40.5" customHeight="1" x14ac:dyDescent="0.25">
      <c r="A216" s="108">
        <v>318</v>
      </c>
      <c r="B216" s="108">
        <v>1</v>
      </c>
      <c r="C216" s="14" t="s">
        <v>112</v>
      </c>
      <c r="D216" s="108">
        <f>'SGTO POAI 2024 ARMONIZADO'!I386</f>
        <v>1905</v>
      </c>
      <c r="E216" s="109" t="str">
        <f>'SGTO POAI 2024 ARMONIZADO'!J386</f>
        <v xml:space="preserve"> Salud Pública</v>
      </c>
      <c r="F216" s="108">
        <f t="shared" si="14"/>
        <v>199</v>
      </c>
      <c r="G216" s="108">
        <f>'SGTO POAI 2024 ARMONIZADO'!R387</f>
        <v>2020003630134</v>
      </c>
      <c r="H216" s="112" t="str">
        <f>'SGTO POAI 2024 ARMONIZADO'!S387</f>
        <v xml:space="preserve">Fortalecimiento de la red de urgencias y emergencias en el Departamento del Quindío. </v>
      </c>
      <c r="I216" s="226">
        <f>SUM('SGTO POAI 2024 ARMONIZADO'!AU387)</f>
        <v>277413666</v>
      </c>
      <c r="J216" s="226">
        <f>SUM('SGTO POAI 2024 ARMONIZADO'!AV387)</f>
        <v>277413666</v>
      </c>
      <c r="K216" s="177">
        <f t="shared" si="15"/>
        <v>1</v>
      </c>
      <c r="L216" s="226">
        <f>SUM('SGTO POAI 2024 ARMONIZADO'!AW387)</f>
        <v>275080333</v>
      </c>
      <c r="M216" s="179">
        <f t="shared" si="16"/>
        <v>0.99158897600956686</v>
      </c>
    </row>
    <row r="217" spans="1:13" s="142" customFormat="1" ht="42" customHeight="1" x14ac:dyDescent="0.25">
      <c r="A217" s="108">
        <v>318</v>
      </c>
      <c r="B217" s="108">
        <v>1</v>
      </c>
      <c r="C217" s="14" t="s">
        <v>112</v>
      </c>
      <c r="D217" s="108">
        <f>'SGTO POAI 2024 ARMONIZADO'!I387</f>
        <v>1905</v>
      </c>
      <c r="E217" s="109" t="str">
        <f>'SGTO POAI 2024 ARMONIZADO'!J387</f>
        <v>Salud pública</v>
      </c>
      <c r="F217" s="108">
        <f t="shared" si="14"/>
        <v>200</v>
      </c>
      <c r="G217" s="108">
        <f>'SGTO POAI 2024 ARMONIZADO'!R388</f>
        <v>2024003630100</v>
      </c>
      <c r="H217" s="112" t="str">
        <f>'SGTO POAI 2024 ARMONIZADO'!S388</f>
        <v>Operación del Centro Regulador de Urgencias y Emergencias CRUE en el Departamento del Quindío.</v>
      </c>
      <c r="I217" s="226">
        <f>SUM('SGTO POAI 2024 ARMONIZADO'!AU388)</f>
        <v>208864590.06</v>
      </c>
      <c r="J217" s="226">
        <f>SUM('SGTO POAI 2024 ARMONIZADO'!AV388)</f>
        <v>140939998</v>
      </c>
      <c r="K217" s="177">
        <f t="shared" si="15"/>
        <v>0.67479125092248771</v>
      </c>
      <c r="L217" s="226">
        <f>SUM('SGTO POAI 2024 ARMONIZADO'!AW388)</f>
        <v>60900000</v>
      </c>
      <c r="M217" s="179">
        <f t="shared" si="16"/>
        <v>0.29157647058558567</v>
      </c>
    </row>
    <row r="218" spans="1:13" s="142" customFormat="1" ht="46.5" customHeight="1" x14ac:dyDescent="0.25">
      <c r="A218" s="108">
        <v>318</v>
      </c>
      <c r="B218" s="108">
        <v>1</v>
      </c>
      <c r="C218" s="14" t="s">
        <v>112</v>
      </c>
      <c r="D218" s="108">
        <f>'SGTO POAI 2024 ARMONIZADO'!I388</f>
        <v>1905</v>
      </c>
      <c r="E218" s="109" t="str">
        <f>'SGTO POAI 2024 ARMONIZADO'!J388</f>
        <v>Salud Pública</v>
      </c>
      <c r="F218" s="108">
        <f t="shared" si="14"/>
        <v>201</v>
      </c>
      <c r="G218" s="108">
        <f>'SGTO POAI 2024 ARMONIZADO'!R389</f>
        <v>2020003630135</v>
      </c>
      <c r="H218" s="112" t="str">
        <f>'SGTO POAI 2024 ARMONIZADO'!S389</f>
        <v>Fortalecimiento de las intervenciones colectivas y prioridades en salud pública del Departamento del Quindío- PIC</v>
      </c>
      <c r="I218" s="226">
        <f>SUM('SGTO POAI 2024 ARMONIZADO'!AU389)</f>
        <v>1169633198</v>
      </c>
      <c r="J218" s="226">
        <f>SUM('SGTO POAI 2024 ARMONIZADO'!AV389)</f>
        <v>1169633198</v>
      </c>
      <c r="K218" s="177">
        <f t="shared" si="15"/>
        <v>1</v>
      </c>
      <c r="L218" s="226">
        <f>SUM('SGTO POAI 2024 ARMONIZADO'!AW389)</f>
        <v>596241998</v>
      </c>
      <c r="M218" s="179">
        <f t="shared" si="16"/>
        <v>0.50976836073013032</v>
      </c>
    </row>
    <row r="219" spans="1:13" s="142" customFormat="1" ht="60" customHeight="1" x14ac:dyDescent="0.25">
      <c r="A219" s="108">
        <v>318</v>
      </c>
      <c r="B219" s="108">
        <v>1</v>
      </c>
      <c r="C219" s="14" t="s">
        <v>112</v>
      </c>
      <c r="D219" s="108">
        <f>'SGTO POAI 2024 ARMONIZADO'!I389</f>
        <v>1905</v>
      </c>
      <c r="E219" s="109" t="str">
        <f>'SGTO POAI 2024 ARMONIZADO'!J389</f>
        <v>Salud pública</v>
      </c>
      <c r="F219" s="108">
        <f t="shared" si="14"/>
        <v>202</v>
      </c>
      <c r="G219" s="108">
        <f>'SGTO POAI 2024 ARMONIZADO'!R390</f>
        <v>2024003630125</v>
      </c>
      <c r="H219" s="112" t="str">
        <f>'SGTO POAI 2024 ARMONIZADO'!S390</f>
        <v>Fortalecimiento de las intervenciones, procedimientos y actividades del plan de salud pública de intervenciones colectivas PIC para generar condiciones que favorezcan el control de factores de riesgo de la salud de la población del departamento del Quindío</v>
      </c>
      <c r="I219" s="226">
        <f>SUM('SGTO POAI 2024 ARMONIZADO'!AU390:AU392)</f>
        <v>940049541.20000005</v>
      </c>
      <c r="J219" s="226">
        <f>SUM('SGTO POAI 2024 ARMONIZADO'!AV390:AV392)</f>
        <v>797905386</v>
      </c>
      <c r="K219" s="177">
        <f t="shared" si="15"/>
        <v>0.84879078285751941</v>
      </c>
      <c r="L219" s="226">
        <f>SUM('SGTO POAI 2024 ARMONIZADO'!AW390:AW392)</f>
        <v>113800000</v>
      </c>
      <c r="M219" s="179">
        <f t="shared" si="16"/>
        <v>0.12105744964752714</v>
      </c>
    </row>
    <row r="220" spans="1:13" s="142" customFormat="1" ht="49.5" customHeight="1" x14ac:dyDescent="0.25">
      <c r="A220" s="108">
        <v>318</v>
      </c>
      <c r="B220" s="108">
        <v>1</v>
      </c>
      <c r="C220" s="14" t="s">
        <v>112</v>
      </c>
      <c r="D220" s="108">
        <f>'SGTO POAI 2024 ARMONIZADO'!I393</f>
        <v>1906</v>
      </c>
      <c r="E220" s="109" t="str">
        <f>'SGTO POAI 2024 ARMONIZADO'!J393</f>
        <v>Aseguramiento y prestación integral de servicios de salud</v>
      </c>
      <c r="F220" s="108">
        <f t="shared" si="14"/>
        <v>203</v>
      </c>
      <c r="G220" s="108">
        <f>'SGTO POAI 2024 ARMONIZADO'!R393</f>
        <v>2020003630136</v>
      </c>
      <c r="H220" s="112" t="str">
        <f>'SGTO POAI 2024 ARMONIZADO'!S393</f>
        <v xml:space="preserve">Subsidio y cofinanciación al régimen subsidiado del Sistema General de Seguridad Social en Salud en el Departamento del Quindío.  </v>
      </c>
      <c r="I220" s="226">
        <f>SUM('SGTO POAI 2024 ARMONIZADO'!AU393)</f>
        <v>46213945543.389999</v>
      </c>
      <c r="J220" s="226">
        <f>SUM('SGTO POAI 2024 ARMONIZADO'!AV393)</f>
        <v>46213945543.389999</v>
      </c>
      <c r="K220" s="177">
        <f t="shared" si="15"/>
        <v>1</v>
      </c>
      <c r="L220" s="226">
        <f>SUM('SGTO POAI 2024 ARMONIZADO'!AW393)</f>
        <v>37430953481.199989</v>
      </c>
      <c r="M220" s="179">
        <f t="shared" si="16"/>
        <v>0.80994931380737201</v>
      </c>
    </row>
    <row r="221" spans="1:13" s="142" customFormat="1" ht="48" customHeight="1" x14ac:dyDescent="0.25">
      <c r="A221" s="108">
        <v>318</v>
      </c>
      <c r="B221" s="108">
        <v>1</v>
      </c>
      <c r="C221" s="14" t="s">
        <v>112</v>
      </c>
      <c r="D221" s="108">
        <f>'SGTO POAI 2024 ARMONIZADO'!I394</f>
        <v>1906</v>
      </c>
      <c r="E221" s="109" t="str">
        <f>'SGTO POAI 2024 ARMONIZADO'!J394</f>
        <v>Aseguramiento y prestación integral de servicios de salud</v>
      </c>
      <c r="F221" s="108">
        <f t="shared" si="14"/>
        <v>204</v>
      </c>
      <c r="G221" s="108">
        <f>'SGTO POAI 2024 ARMONIZADO'!R394</f>
        <v>2024003630104</v>
      </c>
      <c r="H221" s="112" t="str">
        <f>'SGTO POAI 2024 ARMONIZADO'!S394</f>
        <v>Cofinanciación del Régimen Subsidiado y apoyo a la prestación de servicios de Salud en el Departamento del Quindío.</v>
      </c>
      <c r="I221" s="226">
        <f>SUM('SGTO POAI 2024 ARMONIZADO'!AU394+'SGTO POAI 2024 ARMONIZADO'!AU399+'SGTO POAI 2024 ARMONIZADO'!AU400+'SGTO POAI 2024 ARMONIZADO'!AU401+'SGTO POAI 2024 ARMONIZADO'!AU402+'SGTO POAI 2024 ARMONIZADO'!AU403+'SGTO POAI 2024 ARMONIZADO'!AU404+'SGTO POAI 2024 ARMONIZADO'!AU405+'SGTO POAI 2024 ARMONIZADO'!AU406)</f>
        <v>12522577308.99</v>
      </c>
      <c r="J221" s="226">
        <f>SUM('SGTO POAI 2024 ARMONIZADO'!AV394+'SGTO POAI 2024 ARMONIZADO'!AV399+'SGTO POAI 2024 ARMONIZADO'!AV400+'SGTO POAI 2024 ARMONIZADO'!AV401+'SGTO POAI 2024 ARMONIZADO'!AV402+'SGTO POAI 2024 ARMONIZADO'!AV403+'SGTO POAI 2024 ARMONIZADO'!AV404+'SGTO POAI 2024 ARMONIZADO'!AV405+'SGTO POAI 2024 ARMONIZADO'!AV406)</f>
        <v>486402776</v>
      </c>
      <c r="K221" s="177">
        <f t="shared" si="15"/>
        <v>3.8842066133687181E-2</v>
      </c>
      <c r="L221" s="226">
        <f>SUM('SGTO POAI 2024 ARMONIZADO'!AW394+'SGTO POAI 2024 ARMONIZADO'!AW399+'SGTO POAI 2024 ARMONIZADO'!AW400+'SGTO POAI 2024 ARMONIZADO'!AW401+'SGTO POAI 2024 ARMONIZADO'!AW402+'SGTO POAI 2024 ARMONIZADO'!AW403+'SGTO POAI 2024 ARMONIZADO'!AW404+'SGTO POAI 2024 ARMONIZADO'!AW405+'SGTO POAI 2024 ARMONIZADO'!AW406)</f>
        <v>146624522</v>
      </c>
      <c r="M221" s="179">
        <f t="shared" si="16"/>
        <v>1.1708813480012438E-2</v>
      </c>
    </row>
    <row r="222" spans="1:13" s="142" customFormat="1" ht="48" customHeight="1" x14ac:dyDescent="0.25">
      <c r="A222" s="108">
        <v>318</v>
      </c>
      <c r="B222" s="108">
        <v>1</v>
      </c>
      <c r="C222" s="14" t="s">
        <v>112</v>
      </c>
      <c r="D222" s="108">
        <f>'SGTO POAI 2024 ARMONIZADO'!I395</f>
        <v>1906</v>
      </c>
      <c r="E222" s="109" t="str">
        <f>'SGTO POAI 2024 ARMONIZADO'!J395</f>
        <v>Aseguramiento y prestación integral de servicios de salud</v>
      </c>
      <c r="F222" s="108">
        <f t="shared" si="14"/>
        <v>205</v>
      </c>
      <c r="G222" s="108">
        <f>'SGTO POAI 2024 ARMONIZADO'!R395</f>
        <v>2020003630137</v>
      </c>
      <c r="H222" s="112" t="str">
        <f>'SGTO POAI 2024 ARMONIZADO'!S395</f>
        <v>Prestación de Servicios a la Población no Afiliada al Sistema General de Seguridad Social en Salud y en el NO POS a la Población del Régimen Subsidiado.</v>
      </c>
      <c r="I222" s="226">
        <f>SUM('SGTO POAI 2024 ARMONIZADO'!AU395+'SGTO POAI 2024 ARMONIZADO'!AU397)</f>
        <v>4685078564.8400002</v>
      </c>
      <c r="J222" s="226">
        <f>SUM('SGTO POAI 2024 ARMONIZADO'!AV395+'SGTO POAI 2024 ARMONIZADO'!AV397)</f>
        <v>4455919223.8400002</v>
      </c>
      <c r="K222" s="177">
        <f t="shared" si="15"/>
        <v>0.95108740700321082</v>
      </c>
      <c r="L222" s="226">
        <f>SUM('SGTO POAI 2024 ARMONIZADO'!AW395+'SGTO POAI 2024 ARMONIZADO'!AW397)</f>
        <v>3932103877</v>
      </c>
      <c r="M222" s="179">
        <f t="shared" si="16"/>
        <v>0.83928237756975266</v>
      </c>
    </row>
    <row r="223" spans="1:13" s="142" customFormat="1" ht="42" customHeight="1" x14ac:dyDescent="0.25">
      <c r="A223" s="108">
        <v>318</v>
      </c>
      <c r="B223" s="108">
        <v>1</v>
      </c>
      <c r="C223" s="14" t="s">
        <v>112</v>
      </c>
      <c r="D223" s="108">
        <f>'SGTO POAI 2024 ARMONIZADO'!I398</f>
        <v>1906</v>
      </c>
      <c r="E223" s="109" t="str">
        <f>'SGTO POAI 2024 ARMONIZADO'!J398</f>
        <v>Aseguramiento y prestación integral de servicios de salud</v>
      </c>
      <c r="F223" s="108">
        <f t="shared" si="14"/>
        <v>206</v>
      </c>
      <c r="G223" s="108">
        <f>'SGTO POAI 2024 ARMONIZADO'!R398</f>
        <v>2020003630138</v>
      </c>
      <c r="H223" s="115" t="str">
        <f>'SGTO POAI 2024 ARMONIZADO'!S398</f>
        <v xml:space="preserve">Fortalecimiento de la red de prestación de servicios pública del Departamento del Quindío.   </v>
      </c>
      <c r="I223" s="226">
        <f>'SGTO POAI 2024 ARMONIZADO'!AU398</f>
        <v>533368680</v>
      </c>
      <c r="J223" s="226">
        <f>'SGTO POAI 2024 ARMONIZADO'!AV398</f>
        <v>533368680</v>
      </c>
      <c r="K223" s="177">
        <f t="shared" si="15"/>
        <v>1</v>
      </c>
      <c r="L223" s="226">
        <f>'SGTO POAI 2024 ARMONIZADO'!AW398</f>
        <v>533368680</v>
      </c>
      <c r="M223" s="179">
        <f t="shared" si="16"/>
        <v>1</v>
      </c>
    </row>
    <row r="224" spans="1:13" s="142" customFormat="1" ht="46.5" customHeight="1" x14ac:dyDescent="0.25">
      <c r="A224" s="108">
        <v>318</v>
      </c>
      <c r="B224" s="108">
        <v>1</v>
      </c>
      <c r="C224" s="14" t="s">
        <v>112</v>
      </c>
      <c r="D224" s="108">
        <f>'SGTO POAI 2024 ARMONIZADO'!I396</f>
        <v>1906</v>
      </c>
      <c r="E224" s="109" t="str">
        <f>'SGTO POAI 2024 ARMONIZADO'!J396</f>
        <v>Aseguramiento y prestación integral de servicios de salud</v>
      </c>
      <c r="F224" s="108">
        <f t="shared" si="14"/>
        <v>207</v>
      </c>
      <c r="G224" s="108">
        <f>'SGTO POAI 2024 ARMONIZADO'!R396</f>
        <v>2024003630101</v>
      </c>
      <c r="H224" s="112" t="str">
        <f>'SGTO POAI 2024 ARMONIZADO'!S396</f>
        <v>Servicio de atención oportuna e integral a la población inimputable del Departamento del Quindío.</v>
      </c>
      <c r="I224" s="226">
        <f>SUM('SGTO POAI 2024 ARMONIZADO'!AU396)</f>
        <v>2825712000</v>
      </c>
      <c r="J224" s="226">
        <f>SUM('SGTO POAI 2024 ARMONIZADO'!AV396)</f>
        <v>2410178000</v>
      </c>
      <c r="K224" s="177">
        <f t="shared" si="15"/>
        <v>0.85294538155339261</v>
      </c>
      <c r="L224" s="226">
        <f>SUM('SGTO POAI 2024 ARMONIZADO'!AW396)</f>
        <v>910178000</v>
      </c>
      <c r="M224" s="179">
        <f t="shared" si="16"/>
        <v>0.32210572061130077</v>
      </c>
    </row>
    <row r="225" spans="1:13" s="142" customFormat="1" ht="69.75" customHeight="1" x14ac:dyDescent="0.25">
      <c r="A225" s="108">
        <v>318</v>
      </c>
      <c r="B225" s="108">
        <v>1</v>
      </c>
      <c r="C225" s="14" t="s">
        <v>112</v>
      </c>
      <c r="D225" s="108">
        <f>'SGTO POAI 2024 ARMONIZADO'!I381</f>
        <v>1905</v>
      </c>
      <c r="E225" s="109" t="str">
        <f>'SGTO POAI 2024 ARMONIZADO'!J381</f>
        <v>Salud pública</v>
      </c>
      <c r="F225" s="108">
        <f t="shared" si="14"/>
        <v>208</v>
      </c>
      <c r="G225" s="108">
        <f>'SGTO POAI 2024 ARMONIZADO'!R412</f>
        <v>2024003630115</v>
      </c>
      <c r="H225" s="112" t="str">
        <f>'SGTO POAI 2024 ARMONIZADO'!S412</f>
        <v>Fortalecimiento de los procesos gestión de la salud pública para el logro de resultados en salud asociados a las enfermedades trasmitidas por micobacterias y la discapacidad en el Departamento del Quindio.</v>
      </c>
      <c r="I225" s="226">
        <f>SUM('SGTO POAI 2024 ARMONIZADO'!AU412:AU415)</f>
        <v>967005268</v>
      </c>
      <c r="J225" s="226">
        <f>SUM('SGTO POAI 2024 ARMONIZADO'!AV412:AV415)</f>
        <v>424767492</v>
      </c>
      <c r="K225" s="177">
        <f t="shared" si="15"/>
        <v>0.4392607838409418</v>
      </c>
      <c r="L225" s="226">
        <f>SUM('SGTO POAI 2024 ARMONIZADO'!AW412:AW415)</f>
        <v>46800000</v>
      </c>
      <c r="M225" s="179">
        <f t="shared" si="16"/>
        <v>4.8396840791564331E-2</v>
      </c>
    </row>
    <row r="226" spans="1:13" s="142" customFormat="1" ht="60" customHeight="1" x14ac:dyDescent="0.25">
      <c r="A226" s="108">
        <v>318</v>
      </c>
      <c r="B226" s="108">
        <v>1</v>
      </c>
      <c r="C226" s="14" t="s">
        <v>112</v>
      </c>
      <c r="D226" s="108">
        <f>'SGTO POAI 2024 ARMONIZADO'!I385</f>
        <v>1905</v>
      </c>
      <c r="E226" s="109" t="str">
        <f>'SGTO POAI 2024 ARMONIZADO'!J385</f>
        <v xml:space="preserve"> Salud Pública</v>
      </c>
      <c r="F226" s="108">
        <f t="shared" si="14"/>
        <v>209</v>
      </c>
      <c r="G226" s="108">
        <f>'SGTO POAI 2024 ARMONIZADO'!R416</f>
        <v>2020003630131</v>
      </c>
      <c r="H226" s="112" t="str">
        <f>'SGTO POAI 2024 ARMONIZADO'!S416</f>
        <v xml:space="preserve">Prevención, preparación, contingencia, mitigación y superación de emergencias y contingencias por eventos relacionados con la salud pública en el Departamento del Quindío.  </v>
      </c>
      <c r="I226" s="226">
        <f>SUM('SGTO POAI 2024 ARMONIZADO'!AU416)</f>
        <v>4300000</v>
      </c>
      <c r="J226" s="226">
        <f>SUM('SGTO POAI 2024 ARMONIZADO'!AV416)</f>
        <v>4300000</v>
      </c>
      <c r="K226" s="177">
        <f t="shared" si="15"/>
        <v>1</v>
      </c>
      <c r="L226" s="226">
        <f>SUM('SGTO POAI 2024 ARMONIZADO'!AW416)</f>
        <v>4300000</v>
      </c>
      <c r="M226" s="179">
        <f t="shared" si="16"/>
        <v>1</v>
      </c>
    </row>
    <row r="227" spans="1:13" s="142" customFormat="1" ht="45" customHeight="1" x14ac:dyDescent="0.25">
      <c r="A227" s="108">
        <v>318</v>
      </c>
      <c r="B227" s="108">
        <v>1</v>
      </c>
      <c r="C227" s="14" t="s">
        <v>112</v>
      </c>
      <c r="D227" s="108">
        <f>'SGTO POAI 2024 ARMONIZADO'!I386</f>
        <v>1905</v>
      </c>
      <c r="E227" s="109" t="str">
        <f>'SGTO POAI 2024 ARMONIZADO'!J386</f>
        <v xml:space="preserve"> Salud Pública</v>
      </c>
      <c r="F227" s="108">
        <f t="shared" si="14"/>
        <v>210</v>
      </c>
      <c r="G227" s="108">
        <f>'SGTO POAI 2024 ARMONIZADO'!R417</f>
        <v>2020003630132</v>
      </c>
      <c r="H227" s="112" t="str">
        <f>'SGTO POAI 2024 ARMONIZADO'!S417</f>
        <v xml:space="preserve">Prevención vigilancia y control de eventos en el ámbito laboral en el Departamento del Quindío.  </v>
      </c>
      <c r="I227" s="226">
        <f>SUM('SGTO POAI 2024 ARMONIZADO'!AU417)</f>
        <v>67376666</v>
      </c>
      <c r="J227" s="226">
        <f>SUM('SGTO POAI 2024 ARMONIZADO'!AV417)</f>
        <v>67376666</v>
      </c>
      <c r="K227" s="177">
        <f t="shared" si="15"/>
        <v>1</v>
      </c>
      <c r="L227" s="226">
        <f>SUM('SGTO POAI 2024 ARMONIZADO'!AW417)</f>
        <v>67376666</v>
      </c>
      <c r="M227" s="179">
        <f t="shared" si="16"/>
        <v>1</v>
      </c>
    </row>
    <row r="228" spans="1:13" s="142" customFormat="1" ht="45" customHeight="1" x14ac:dyDescent="0.25">
      <c r="A228" s="108">
        <v>318</v>
      </c>
      <c r="B228" s="108">
        <v>1</v>
      </c>
      <c r="C228" s="14" t="s">
        <v>112</v>
      </c>
      <c r="D228" s="108">
        <f>'SGTO POAI 2024 ARMONIZADO'!I387</f>
        <v>1905</v>
      </c>
      <c r="E228" s="109" t="str">
        <f>'SGTO POAI 2024 ARMONIZADO'!J387</f>
        <v>Salud pública</v>
      </c>
      <c r="F228" s="108">
        <f t="shared" si="14"/>
        <v>211</v>
      </c>
      <c r="G228" s="108">
        <f>'SGTO POAI 2024 ARMONIZADO'!R418</f>
        <v>2024003630099</v>
      </c>
      <c r="H228" s="112" t="str">
        <f>'SGTO POAI 2024 ARMONIZADO'!S418</f>
        <v xml:space="preserve">	Implementación de la gestión integral por y para la salud de los Quindianos en el Departamento del Quindio</v>
      </c>
      <c r="I228" s="226">
        <f>SUM('SGTO POAI 2024 ARMONIZADO'!AU418:AU429)</f>
        <v>543454772</v>
      </c>
      <c r="J228" s="226">
        <f>SUM('SGTO POAI 2024 ARMONIZADO'!AV418:AV429)</f>
        <v>295799994</v>
      </c>
      <c r="K228" s="177">
        <f t="shared" si="15"/>
        <v>0.54429551315081648</v>
      </c>
      <c r="L228" s="226">
        <f>SUM('SGTO POAI 2024 ARMONIZADO'!AW418:AW429)</f>
        <v>152300000</v>
      </c>
      <c r="M228" s="179">
        <f t="shared" si="16"/>
        <v>0.28024411201600413</v>
      </c>
    </row>
    <row r="229" spans="1:13" s="142" customFormat="1" ht="60" customHeight="1" x14ac:dyDescent="0.25">
      <c r="A229" s="108">
        <v>318</v>
      </c>
      <c r="B229" s="108">
        <v>1</v>
      </c>
      <c r="C229" s="14" t="s">
        <v>112</v>
      </c>
      <c r="D229" s="108">
        <f>'SGTO POAI 2024 ARMONIZADO'!I430</f>
        <v>1906</v>
      </c>
      <c r="E229" s="109" t="str">
        <f>'SGTO POAI 2024 ARMONIZADO'!J430</f>
        <v>Aseguramiento y prestación integral de servicios de salud</v>
      </c>
      <c r="F229" s="108">
        <f t="shared" si="14"/>
        <v>212</v>
      </c>
      <c r="G229" s="108">
        <f>'SGTO POAI 2024 ARMONIZADO'!R430</f>
        <v>2024003630105</v>
      </c>
      <c r="H229" s="115" t="str">
        <f>'SGTO POAI 2024 ARMONIZADO'!S430</f>
        <v>Fortalecimiento de la infraestructura física, dotación biomédica y vehiculos para la prestación de servicios de Salud en las las ESES del Departamento</v>
      </c>
      <c r="I229" s="226">
        <f>SUM('SGTO POAI 2024 ARMONIZADO'!AU430:AU431)</f>
        <v>13000000</v>
      </c>
      <c r="J229" s="226">
        <f>SUM('SGTO POAI 2024 ARMONIZADO'!AV430:AV431)</f>
        <v>0</v>
      </c>
      <c r="K229" s="177">
        <f t="shared" si="15"/>
        <v>0</v>
      </c>
      <c r="L229" s="226">
        <f>SUM('SGTO POAI 2024 ARMONIZADO'!AW430:AW431)</f>
        <v>0</v>
      </c>
      <c r="M229" s="179">
        <f t="shared" si="16"/>
        <v>0</v>
      </c>
    </row>
    <row r="230" spans="1:13" s="142" customFormat="1" ht="63.75" customHeight="1" x14ac:dyDescent="0.25">
      <c r="A230" s="108">
        <v>318</v>
      </c>
      <c r="B230" s="108">
        <v>1</v>
      </c>
      <c r="C230" s="14" t="s">
        <v>112</v>
      </c>
      <c r="D230" s="108">
        <f>'SGTO POAI 2024 ARMONIZADO'!I432</f>
        <v>1905</v>
      </c>
      <c r="E230" s="109" t="str">
        <f>'SGTO POAI 2024 ARMONIZADO'!J432</f>
        <v>Salud Pública</v>
      </c>
      <c r="F230" s="108">
        <f t="shared" si="14"/>
        <v>213</v>
      </c>
      <c r="G230" s="108">
        <f>'SGTO POAI 2024 ARMONIZADO'!R432</f>
        <v>2024003630118</v>
      </c>
      <c r="H230" s="115" t="str">
        <f>'SGTO POAI 2024 ARMONIZADO'!S432</f>
        <v>Fortalecimiento de las actividades de vigilancia en Salud Pública en el departamento mediante las acciones misionales del laboratorio, con el fin de poder tomar decisiones para la Salud Pública.  Quindio</v>
      </c>
      <c r="I230" s="226">
        <f>'SGTO POAI 2024 ARMONIZADO'!AU432</f>
        <v>28720000</v>
      </c>
      <c r="J230" s="226">
        <f>'SGTO POAI 2024 ARMONIZADO'!AV432</f>
        <v>0</v>
      </c>
      <c r="K230" s="177">
        <f t="shared" si="15"/>
        <v>0</v>
      </c>
      <c r="L230" s="226">
        <f>'SGTO POAI 2024 ARMONIZADO'!AW432</f>
        <v>0</v>
      </c>
      <c r="M230" s="179">
        <f t="shared" si="16"/>
        <v>0</v>
      </c>
    </row>
    <row r="231" spans="1:13" s="142" customFormat="1" ht="40.5" customHeight="1" x14ac:dyDescent="0.25">
      <c r="A231" s="108">
        <v>318</v>
      </c>
      <c r="B231" s="108">
        <v>1</v>
      </c>
      <c r="C231" s="14" t="s">
        <v>112</v>
      </c>
      <c r="D231" s="108">
        <f>'SGTO POAI 2024 ARMONIZADO'!I433</f>
        <v>1903</v>
      </c>
      <c r="E231" s="17" t="str">
        <f>'SGTO POAI 2024 ARMONIZADO'!J433</f>
        <v>Inspección, vigilancia y control</v>
      </c>
      <c r="F231" s="108">
        <f t="shared" si="14"/>
        <v>214</v>
      </c>
      <c r="G231" s="108">
        <f>'SGTO POAI 2024 ARMONIZADO'!R433</f>
        <v>2024003630116</v>
      </c>
      <c r="H231" s="115" t="str">
        <f>'SGTO POAI 2024 ARMONIZADO'!S433</f>
        <v>Implementación de la salud Inclusiva por y para todos en el Quindío</v>
      </c>
      <c r="I231" s="226">
        <f>SUM('SGTO POAI 2024 ARMONIZADO'!AU433:AU434)</f>
        <v>64073318</v>
      </c>
      <c r="J231" s="226">
        <f>SUM('SGTO POAI 2024 ARMONIZADO'!AV433:AV434)</f>
        <v>36933333</v>
      </c>
      <c r="K231" s="177">
        <f t="shared" si="15"/>
        <v>0.57642298155996852</v>
      </c>
      <c r="L231" s="226">
        <f>SUM('SGTO POAI 2024 ARMONIZADO'!AW433:AW434)</f>
        <v>20800000</v>
      </c>
      <c r="M231" s="179">
        <f t="shared" si="16"/>
        <v>0.3246281080683226</v>
      </c>
    </row>
    <row r="232" spans="1:13" s="142" customFormat="1" ht="18" customHeight="1" x14ac:dyDescent="0.25">
      <c r="A232" s="16">
        <v>324</v>
      </c>
      <c r="B232" s="16"/>
      <c r="C232" s="16"/>
      <c r="D232" s="187"/>
      <c r="E232" s="12"/>
      <c r="F232" s="5" t="s">
        <v>1276</v>
      </c>
      <c r="G232" s="6"/>
      <c r="H232" s="10"/>
      <c r="I232" s="223">
        <f>SUM(I233:I242)</f>
        <v>22283486868.779999</v>
      </c>
      <c r="J232" s="223">
        <f>SUM(J233:J242)</f>
        <v>1223924319</v>
      </c>
      <c r="K232" s="168">
        <f t="shared" si="15"/>
        <v>5.4925170652478268E-2</v>
      </c>
      <c r="L232" s="223">
        <f>SUM(L233:L242)</f>
        <v>974718332</v>
      </c>
      <c r="M232" s="168">
        <f t="shared" si="16"/>
        <v>4.3741732958571082E-2</v>
      </c>
    </row>
    <row r="233" spans="1:13" s="142" customFormat="1" ht="52.5" customHeight="1" x14ac:dyDescent="0.25">
      <c r="A233" s="108">
        <v>324</v>
      </c>
      <c r="B233" s="108">
        <f>'SGTO POAI 2024 ARMONIZADO'!E435</f>
        <v>3</v>
      </c>
      <c r="C233" s="109" t="str">
        <f>'SGTO POAI 2024 ARMONIZADO'!F435</f>
        <v>Convergencia Territorial.  “Quindío interconectado territorialmente, donde el progreso y las oportunidades llegan a todos los rincones”</v>
      </c>
      <c r="D233" s="108">
        <f>'SGTO POAI 2024 ARMONIZADO'!I435</f>
        <v>2301</v>
      </c>
      <c r="E233" s="17" t="str">
        <f>'SGTO POAI 2024 ARMONIZADO'!J435</f>
        <v>Facilitar el acceso y uso de las Tecnologías de la Información y las Comunicaciones en todo el territorio nacional</v>
      </c>
      <c r="F233" s="15">
        <f>F231+1</f>
        <v>215</v>
      </c>
      <c r="G233" s="108">
        <f>'SGTO POAI 2024 ARMONIZADO'!R435</f>
        <v>2020003630038</v>
      </c>
      <c r="H233" s="115" t="str">
        <f>'SGTO POAI 2024 ARMONIZADO'!S435</f>
        <v>Fortalecimiento  y apoyo a las tecnologías de la información y las comunicaciones en el departamento del Quindío.</v>
      </c>
      <c r="I233" s="224">
        <f>SUM('SGTO POAI 2024 ARMONIZADO'!AU435:AU436)</f>
        <v>85000000</v>
      </c>
      <c r="J233" s="224">
        <f>SUM('SGTO POAI 2024 ARMONIZADO'!AV435:AV436)</f>
        <v>85000000</v>
      </c>
      <c r="K233" s="167">
        <f t="shared" si="15"/>
        <v>1</v>
      </c>
      <c r="L233" s="224">
        <f>SUM('SGTO POAI 2024 ARMONIZADO'!AW435:AW436)</f>
        <v>85000000</v>
      </c>
      <c r="M233" s="166">
        <f t="shared" si="16"/>
        <v>1</v>
      </c>
    </row>
    <row r="234" spans="1:13" s="142" customFormat="1" ht="48.75" customHeight="1" x14ac:dyDescent="0.25">
      <c r="A234" s="108">
        <v>324</v>
      </c>
      <c r="B234" s="108">
        <f>'SGTO POAI 2024 ARMONIZADO'!E437</f>
        <v>3</v>
      </c>
      <c r="C234" s="109" t="str">
        <f>'SGTO POAI 2024 ARMONIZADO'!F437</f>
        <v>Convergencia Territorial.  “Quindío interconectado territorialmente, donde el progreso y las oportunidades llegan a todos los rincones”</v>
      </c>
      <c r="D234" s="108" t="str">
        <f>'SGTO POAI 2024 ARMONIZADO'!I437</f>
        <v>2301</v>
      </c>
      <c r="E234" s="17" t="str">
        <f>'SGTO POAI 2024 ARMONIZADO'!J437</f>
        <v>Facilitar el acceso y uso de las Tecnologías de la Información y las Comunicaciones en todo el territorio nacional</v>
      </c>
      <c r="F234" s="15">
        <f>F233+1</f>
        <v>216</v>
      </c>
      <c r="G234" s="108">
        <f>'SGTO POAI 2024 ARMONIZADO'!R437</f>
        <v>2024003630005</v>
      </c>
      <c r="H234" s="115" t="str">
        <f>'SGTO POAI 2024 ARMONIZADO'!S437</f>
        <v>Fortalecimiento de la conectividad y acceso a las tecnologias de la información y comunicaciones en el departamento del Quindio</v>
      </c>
      <c r="I234" s="224">
        <f>SUM('SGTO POAI 2024 ARMONIZADO'!AU437:AU439)</f>
        <v>21066287528</v>
      </c>
      <c r="J234" s="224">
        <f>SUM('SGTO POAI 2024 ARMONIZADO'!AV437:AV439)</f>
        <v>60502654</v>
      </c>
      <c r="K234" s="167">
        <f t="shared" si="15"/>
        <v>2.8720131119250904E-3</v>
      </c>
      <c r="L234" s="224">
        <f>SUM('SGTO POAI 2024 ARMONIZADO'!AW437:AW439)</f>
        <v>19500000</v>
      </c>
      <c r="M234" s="166">
        <f t="shared" si="16"/>
        <v>9.2564957038974299E-4</v>
      </c>
    </row>
    <row r="235" spans="1:13" s="142" customFormat="1" ht="43.5" customHeight="1" x14ac:dyDescent="0.25">
      <c r="A235" s="108">
        <v>324</v>
      </c>
      <c r="B235" s="108">
        <f>'SGTO POAI 2024 ARMONIZADO'!E440</f>
        <v>3</v>
      </c>
      <c r="C235" s="109" t="str">
        <f>'SGTO POAI 2024 ARMONIZADO'!F440</f>
        <v>Convergencia Territorial.  “Quindío interconectado territorialmente, donde el progreso y las oportunidades llegan a todos los rincones”</v>
      </c>
      <c r="D235" s="108">
        <f>'SGTO POAI 2024 ARMONIZADO'!I440</f>
        <v>2301</v>
      </c>
      <c r="E235" s="17" t="str">
        <f>'SGTO POAI 2024 ARMONIZADO'!J440</f>
        <v>Facilitar el acceso y uso de las Tecnologías de la Información y las Comunicaciones en todo el territorio nacional</v>
      </c>
      <c r="F235" s="108">
        <f>F234+1</f>
        <v>217</v>
      </c>
      <c r="G235" s="108">
        <f>'SGTO POAI 2024 ARMONIZADO'!R440</f>
        <v>2020003630139</v>
      </c>
      <c r="H235" s="115" t="str">
        <f>'SGTO POAI 2024 ARMONIZADO'!S440</f>
        <v>Asistencia y apropiación tecnológica y generacional en el departamento del Quindio</v>
      </c>
      <c r="I235" s="224">
        <f>'SGTO POAI 2024 ARMONIZADO'!AU440+'SGTO POAI 2024 ARMONIZADO'!AU442</f>
        <v>334471989</v>
      </c>
      <c r="J235" s="224">
        <f>'SGTO POAI 2024 ARMONIZADO'!AV440+'SGTO POAI 2024 ARMONIZADO'!AV442</f>
        <v>334471989</v>
      </c>
      <c r="K235" s="167">
        <f t="shared" si="15"/>
        <v>1</v>
      </c>
      <c r="L235" s="224">
        <f>'SGTO POAI 2024 ARMONIZADO'!AW440+'SGTO POAI 2024 ARMONIZADO'!AW442</f>
        <v>334471989</v>
      </c>
      <c r="M235" s="166">
        <f t="shared" si="16"/>
        <v>1</v>
      </c>
    </row>
    <row r="236" spans="1:13" s="142" customFormat="1" ht="48" customHeight="1" x14ac:dyDescent="0.25">
      <c r="A236" s="108">
        <v>324</v>
      </c>
      <c r="B236" s="108">
        <f>'SGTO POAI 2024 ARMONIZADO'!E441</f>
        <v>4</v>
      </c>
      <c r="C236" s="109" t="str">
        <f>'SGTO POAI 2024 ARMONIZADO'!F441</f>
        <v>Gobernabilidad, Fortalecimiento Institucional y Seguridad. “Quindío territorio seguro y confiable”</v>
      </c>
      <c r="D236" s="108">
        <f>'SGTO POAI 2024 ARMONIZADO'!I441</f>
        <v>2301</v>
      </c>
      <c r="E236" s="17" t="str">
        <f>'SGTO POAI 2024 ARMONIZADO'!J441</f>
        <v>Facilitar el acceso y uso de las Tecnologías de la Información y las Comunicaciones en todo el territorio nacional</v>
      </c>
      <c r="F236" s="108">
        <v>217</v>
      </c>
      <c r="G236" s="108">
        <f>'SGTO POAI 2024 ARMONIZADO'!R441</f>
        <v>2020003630139</v>
      </c>
      <c r="H236" s="115" t="str">
        <f>'SGTO POAI 2024 ARMONIZADO'!S441</f>
        <v>Asistencia y apropiación tecnológica y generacional en el departamento del Quindio</v>
      </c>
      <c r="I236" s="224">
        <f>'SGTO POAI 2024 ARMONIZADO'!AU441</f>
        <v>29600000</v>
      </c>
      <c r="J236" s="224">
        <f>'SGTO POAI 2024 ARMONIZADO'!AV441</f>
        <v>29600000</v>
      </c>
      <c r="K236" s="167">
        <f t="shared" si="15"/>
        <v>1</v>
      </c>
      <c r="L236" s="224">
        <f>'SGTO POAI 2024 ARMONIZADO'!AW441</f>
        <v>29600000</v>
      </c>
      <c r="M236" s="166">
        <f t="shared" si="16"/>
        <v>1</v>
      </c>
    </row>
    <row r="237" spans="1:13" s="142" customFormat="1" ht="39.75" customHeight="1" x14ac:dyDescent="0.25">
      <c r="A237" s="108">
        <v>324</v>
      </c>
      <c r="B237" s="108">
        <f>'SGTO POAI 2024 ARMONIZADO'!E443</f>
        <v>3</v>
      </c>
      <c r="C237" s="109" t="str">
        <f>'SGTO POAI 2024 ARMONIZADO'!F443</f>
        <v>Convergencia Territorial.  “Quindío interconectado territorialmente, donde el progreso y las oportunidades llegan a todos los rincones”</v>
      </c>
      <c r="D237" s="108">
        <f>'SGTO POAI 2024 ARMONIZADO'!I443</f>
        <v>2301</v>
      </c>
      <c r="E237" s="17" t="str">
        <f>'SGTO POAI 2024 ARMONIZADO'!J443</f>
        <v>Facilitar el acceso y uso de las Tecnologías de la Información y las Comunicaciones en todo el territorio nacional</v>
      </c>
      <c r="F237" s="108">
        <f>F235+1</f>
        <v>218</v>
      </c>
      <c r="G237" s="108">
        <f>'SGTO POAI 2024 ARMONIZADO'!R443</f>
        <v>2024003630004</v>
      </c>
      <c r="H237" s="115" t="str">
        <f>'SGTO POAI 2024 ARMONIZADO'!S443</f>
        <v>Fortalecimiento Social TIC en el Departamento del Quindío</v>
      </c>
      <c r="I237" s="224">
        <f>'SGTO POAI 2024 ARMONIZADO'!AU443+'SGTO POAI 2024 ARMONIZADO'!AU445+'SGTO POAI 2024 ARMONIZADO'!AU446</f>
        <v>315727351.77999997</v>
      </c>
      <c r="J237" s="224">
        <f>'SGTO POAI 2024 ARMONIZADO'!AV443+'SGTO POAI 2024 ARMONIZADO'!AV445+'SGTO POAI 2024 ARMONIZADO'!AV446</f>
        <v>295391666</v>
      </c>
      <c r="K237" s="167">
        <f t="shared" si="15"/>
        <v>0.93559099119746214</v>
      </c>
      <c r="L237" s="224">
        <f>'SGTO POAI 2024 ARMONIZADO'!AW443+'SGTO POAI 2024 ARMONIZADO'!AW445+'SGTO POAI 2024 ARMONIZADO'!AW446</f>
        <v>164005000</v>
      </c>
      <c r="M237" s="166">
        <f t="shared" si="16"/>
        <v>0.51945135280607335</v>
      </c>
    </row>
    <row r="238" spans="1:13" s="142" customFormat="1" ht="36.75" customHeight="1" x14ac:dyDescent="0.25">
      <c r="A238" s="108">
        <v>324</v>
      </c>
      <c r="B238" s="108">
        <f>'SGTO POAI 2024 ARMONIZADO'!E444</f>
        <v>4</v>
      </c>
      <c r="C238" s="109" t="str">
        <f>'SGTO POAI 2024 ARMONIZADO'!F444</f>
        <v>Gobernabilidad, Fortalecimiento Institucional y Seguridad. “Quindío territorio seguro y confiable”</v>
      </c>
      <c r="D238" s="108">
        <f>'SGTO POAI 2024 ARMONIZADO'!I443</f>
        <v>2301</v>
      </c>
      <c r="E238" s="17" t="str">
        <f>'SGTO POAI 2024 ARMONIZADO'!J443</f>
        <v>Facilitar el acceso y uso de las Tecnologías de la Información y las Comunicaciones en todo el territorio nacional</v>
      </c>
      <c r="F238" s="108">
        <v>218</v>
      </c>
      <c r="G238" s="108">
        <f>'SGTO POAI 2024 ARMONIZADO'!R444</f>
        <v>2024003630004</v>
      </c>
      <c r="H238" s="115" t="str">
        <f>'SGTO POAI 2024 ARMONIZADO'!S444</f>
        <v xml:space="preserve">Fortalecimiento Social TIC en el Departamento del Quindío </v>
      </c>
      <c r="I238" s="224">
        <f>'SGTO POAI 2024 ARMONIZADO'!AU444</f>
        <v>17400000</v>
      </c>
      <c r="J238" s="224">
        <f>'SGTO POAI 2024 ARMONIZADO'!AV444</f>
        <v>13936667</v>
      </c>
      <c r="K238" s="167">
        <f t="shared" si="15"/>
        <v>0.80095787356321835</v>
      </c>
      <c r="L238" s="224">
        <f>'SGTO POAI 2024 ARMONIZADO'!AW444</f>
        <v>11100000</v>
      </c>
      <c r="M238" s="166">
        <f t="shared" si="16"/>
        <v>0.63793103448275867</v>
      </c>
    </row>
    <row r="239" spans="1:13" s="142" customFormat="1" ht="50.25" customHeight="1" x14ac:dyDescent="0.25">
      <c r="A239" s="108">
        <v>324</v>
      </c>
      <c r="B239" s="108">
        <f>'SGTO POAI 2024 ARMONIZADO'!E447</f>
        <v>3</v>
      </c>
      <c r="C239" s="109" t="str">
        <f>'SGTO POAI 2024 ARMONIZADO'!F447</f>
        <v>Convergencia Territorial.  “Quindío interconectado territorialmente, donde el progreso y las oportunidades llegan a todos los rincones”</v>
      </c>
      <c r="D239" s="108">
        <f>'SGTO POAI 2024 ARMONIZADO'!I447</f>
        <v>2302</v>
      </c>
      <c r="E239" s="17" t="str">
        <f>'SGTO POAI 2024 ARMONIZADO'!J447</f>
        <v>Fomento del desarrollo de aplicaciones, software y contenidos para impulsar la apropiación de las Tecnologías de la Información y las Comunicaciones (TIC)</v>
      </c>
      <c r="F239" s="108">
        <f>F237+1</f>
        <v>219</v>
      </c>
      <c r="G239" s="108">
        <f>'SGTO POAI 2024 ARMONIZADO'!R447</f>
        <v>2020003630141</v>
      </c>
      <c r="H239" s="115" t="str">
        <f>'SGTO POAI 2024 ARMONIZADO'!S447</f>
        <v xml:space="preserve">Fortalecimiento de la estrategia de gobierno digital  en la Administración Departamental y  Entes Territoriales del departamento del  Quindío  </v>
      </c>
      <c r="I239" s="224">
        <f>'SGTO POAI 2024 ARMONIZADO'!AU447+'SGTO POAI 2024 ARMONIZADO'!AU448</f>
        <v>120000000</v>
      </c>
      <c r="J239" s="224">
        <f>'SGTO POAI 2024 ARMONIZADO'!AV447+'SGTO POAI 2024 ARMONIZADO'!AV448</f>
        <v>120000000</v>
      </c>
      <c r="K239" s="167">
        <f t="shared" si="15"/>
        <v>1</v>
      </c>
      <c r="L239" s="224">
        <f>'SGTO POAI 2024 ARMONIZADO'!AW447+'SGTO POAI 2024 ARMONIZADO'!AW448</f>
        <v>120000000</v>
      </c>
      <c r="M239" s="166">
        <f t="shared" si="16"/>
        <v>1</v>
      </c>
    </row>
    <row r="240" spans="1:13" s="142" customFormat="1" ht="46.5" customHeight="1" x14ac:dyDescent="0.25">
      <c r="A240" s="108">
        <v>324</v>
      </c>
      <c r="B240" s="108">
        <f>'SGTO POAI 2024 ARMONIZADO'!E449</f>
        <v>4</v>
      </c>
      <c r="C240" s="109" t="str">
        <f>'SGTO POAI 2024 ARMONIZADO'!F449</f>
        <v>Gobernabilidad, Fortalecimiento Institucional y Seguridad. “Quindío territorio seguro y confiable”</v>
      </c>
      <c r="D240" s="108">
        <f>'SGTO POAI 2024 ARMONIZADO'!I449</f>
        <v>2302</v>
      </c>
      <c r="E240" s="17" t="str">
        <f>'SGTO POAI 2024 ARMONIZADO'!J449</f>
        <v>Fomento del desarrollo de aplicaciones, software y contenidos para impulsar la apropiación de las Tecnologías de la Información y las Comunicaciones (TIC)</v>
      </c>
      <c r="F240" s="108">
        <v>219</v>
      </c>
      <c r="G240" s="108">
        <f>'SGTO POAI 2024 ARMONIZADO'!R449</f>
        <v>2020003630141</v>
      </c>
      <c r="H240" s="115" t="str">
        <f>'SGTO POAI 2024 ARMONIZADO'!S449</f>
        <v xml:space="preserve">Fortalecimiento de la estrategia de gobierno digital  en la Administración Departamental y  Entes Territoriales del departamento del  Quindío  </v>
      </c>
      <c r="I240" s="224">
        <f>'SGTO POAI 2024 ARMONIZADO'!AU449+'SGTO POAI 2024 ARMONIZADO'!AU450+'SGTO POAI 2024 ARMONIZADO'!AU451</f>
        <v>89741343</v>
      </c>
      <c r="J240" s="224">
        <f>'SGTO POAI 2024 ARMONIZADO'!AV449+'SGTO POAI 2024 ARMONIZADO'!AV450+'SGTO POAI 2024 ARMONIZADO'!AV451</f>
        <v>89741343</v>
      </c>
      <c r="K240" s="167">
        <f t="shared" si="15"/>
        <v>1</v>
      </c>
      <c r="L240" s="224">
        <f>'SGTO POAI 2024 ARMONIZADO'!AW449+'SGTO POAI 2024 ARMONIZADO'!AW450+'SGTO POAI 2024 ARMONIZADO'!AW451</f>
        <v>89741343</v>
      </c>
      <c r="M240" s="166">
        <f t="shared" si="16"/>
        <v>1</v>
      </c>
    </row>
    <row r="241" spans="1:13" s="142" customFormat="1" ht="50.25" customHeight="1" x14ac:dyDescent="0.25">
      <c r="A241" s="108">
        <v>324</v>
      </c>
      <c r="B241" s="108">
        <f>'SGTO POAI 2024 ARMONIZADO'!E453</f>
        <v>3</v>
      </c>
      <c r="C241" s="109" t="str">
        <f>'SGTO POAI 2024 ARMONIZADO'!F453</f>
        <v>Convergencia Territorial.  “Quindío interconectado territorialmente, donde el progreso y las oportunidades llegan a todos los rincones”</v>
      </c>
      <c r="D241" s="108">
        <f>'SGTO POAI 2024 ARMONIZADO'!I453</f>
        <v>2302</v>
      </c>
      <c r="E241" s="17" t="str">
        <f>'SGTO POAI 2024 ARMONIZADO'!J453</f>
        <v>Fomento del desarrollo de aplicaciones, software y contenidos para impulsar la apropiación de las Tecnologías de la Información y las Comunicaciones (TIC)</v>
      </c>
      <c r="F241" s="108">
        <f>F239+1</f>
        <v>220</v>
      </c>
      <c r="G241" s="108">
        <f>'SGTO POAI 2024 ARMONIZADO'!R453</f>
        <v>2024003630026</v>
      </c>
      <c r="H241" s="115" t="str">
        <f>'SGTO POAI 2024 ARMONIZADO'!S453</f>
        <v>Fortalecimiento de la Estrategia de Gobierno Digital e Infraestructura Tecnológica en el Departamento del Quindío</v>
      </c>
      <c r="I241" s="224">
        <f>'SGTO POAI 2024 ARMONIZADO'!AU453+'SGTO POAI 2024 ARMONIZADO'!AU454</f>
        <v>62000000</v>
      </c>
      <c r="J241" s="224">
        <f>'SGTO POAI 2024 ARMONIZADO'!AV453+'SGTO POAI 2024 ARMONIZADO'!AV454</f>
        <v>44640000</v>
      </c>
      <c r="K241" s="167">
        <f t="shared" si="15"/>
        <v>0.72</v>
      </c>
      <c r="L241" s="224">
        <f>'SGTO POAI 2024 ARMONIZADO'!AW453+'SGTO POAI 2024 ARMONIZADO'!AW454</f>
        <v>24700000</v>
      </c>
      <c r="M241" s="166">
        <f t="shared" si="16"/>
        <v>0.39838709677419354</v>
      </c>
    </row>
    <row r="242" spans="1:13" s="142" customFormat="1" ht="50.25" customHeight="1" x14ac:dyDescent="0.25">
      <c r="A242" s="108">
        <v>324</v>
      </c>
      <c r="B242" s="108">
        <f>'SGTO POAI 2024 ARMONIZADO'!E452</f>
        <v>4</v>
      </c>
      <c r="C242" s="109" t="str">
        <f>'SGTO POAI 2024 ARMONIZADO'!F452</f>
        <v>Gobernabilidad, Fortalecimiento Institucional y Seguridad. “Quindío territorio seguro y confiable”</v>
      </c>
      <c r="D242" s="108">
        <f>'SGTO POAI 2024 ARMONIZADO'!I452</f>
        <v>2302</v>
      </c>
      <c r="E242" s="17" t="str">
        <f>'SGTO POAI 2024 ARMONIZADO'!J452</f>
        <v>Fomento del desarrollo de aplicaciones, software y contenidos para impulsar la apropiación de las Tecnologías de la Información y las Comunicaciones (TIC)</v>
      </c>
      <c r="F242" s="108">
        <v>220</v>
      </c>
      <c r="G242" s="108">
        <f>'SGTO POAI 2024 ARMONIZADO'!R452</f>
        <v>2024003630026</v>
      </c>
      <c r="H242" s="115" t="str">
        <f>'SGTO POAI 2024 ARMONIZADO'!S452</f>
        <v>Fortalecimiento de la Estrategia de Gobierno Digital e Infraestructura Tecnológica en el Departamento del Quindío</v>
      </c>
      <c r="I242" s="224">
        <f>'SGTO POAI 2024 ARMONIZADO'!AU452+'SGTO POAI 2024 ARMONIZADO'!AU455+'SGTO POAI 2024 ARMONIZADO'!AU456+'SGTO POAI 2024 ARMONIZADO'!AU457</f>
        <v>163258657</v>
      </c>
      <c r="J242" s="224">
        <f>'SGTO POAI 2024 ARMONIZADO'!AV452+'SGTO POAI 2024 ARMONIZADO'!AV455+'SGTO POAI 2024 ARMONIZADO'!AV456+'SGTO POAI 2024 ARMONIZADO'!AV457</f>
        <v>150640000</v>
      </c>
      <c r="K242" s="167">
        <f t="shared" si="15"/>
        <v>0.92270757807348613</v>
      </c>
      <c r="L242" s="224">
        <f>'SGTO POAI 2024 ARMONIZADO'!AW452+'SGTO POAI 2024 ARMONIZADO'!AW455+'SGTO POAI 2024 ARMONIZADO'!AW456+'SGTO POAI 2024 ARMONIZADO'!AW457</f>
        <v>96600000</v>
      </c>
      <c r="M242" s="166">
        <f t="shared" si="16"/>
        <v>0.59169909746348093</v>
      </c>
    </row>
    <row r="243" spans="1:13" s="142" customFormat="1" ht="19.5" customHeight="1" x14ac:dyDescent="0.25">
      <c r="A243" s="16">
        <v>319</v>
      </c>
      <c r="B243" s="16"/>
      <c r="C243" s="16"/>
      <c r="D243" s="187"/>
      <c r="E243" s="12"/>
      <c r="F243" s="232" t="s">
        <v>1136</v>
      </c>
      <c r="G243" s="232"/>
      <c r="H243" s="10"/>
      <c r="I243" s="223">
        <f>SUM(I244:I247)</f>
        <v>11388477582.380001</v>
      </c>
      <c r="J243" s="223">
        <f>SUM(J244:J247)</f>
        <v>8123559084.0699997</v>
      </c>
      <c r="K243" s="168">
        <f t="shared" si="15"/>
        <v>0.71331387582819583</v>
      </c>
      <c r="L243" s="223">
        <f>SUM(L244:L247)</f>
        <v>6834941162.6000004</v>
      </c>
      <c r="M243" s="168">
        <f t="shared" si="16"/>
        <v>0.60016284996467562</v>
      </c>
    </row>
    <row r="244" spans="1:13" s="142" customFormat="1" ht="60" customHeight="1" x14ac:dyDescent="0.25">
      <c r="A244" s="108">
        <v>319</v>
      </c>
      <c r="B244" s="108">
        <f>'SGTO POAI 2024 ARMONIZADO'!E458</f>
        <v>1</v>
      </c>
      <c r="C244" s="109" t="str">
        <f>'SGTO POAI 2024 ARMONIZADO'!F458</f>
        <v>Social, Inclusiva y Participativa. "En el Quindío todos caben y nadie se quedan atrás".</v>
      </c>
      <c r="D244" s="108">
        <f>'SGTO POAI 2024 ARMONIZADO'!I458</f>
        <v>4301</v>
      </c>
      <c r="E244" s="17" t="str">
        <f>'SGTO POAI 2024 ARMONIZADO'!J458</f>
        <v>Fomento a la recreación, la actividad física y el deporte para desarrollar entornos de convivencia y paz</v>
      </c>
      <c r="F244" s="15">
        <f>F242+1</f>
        <v>221</v>
      </c>
      <c r="G244" s="108">
        <f>'SGTO POAI 2024 ARMONIZADO'!R458</f>
        <v>2020003630009</v>
      </c>
      <c r="H244" s="115" t="str">
        <f>'SGTO POAI 2024 ARMONIZADO'!S458</f>
        <v>Fortalecimiento, hábitos y estilos de vida saludable como instrumento SALVAVIDAS en el departamento del Quindío</v>
      </c>
      <c r="I244" s="224">
        <f>SUM('SGTO POAI 2024 ARMONIZADO'!AU458:AU459)</f>
        <v>962559903.61000013</v>
      </c>
      <c r="J244" s="224">
        <f>SUM('SGTO POAI 2024 ARMONIZADO'!AV458:AV459)</f>
        <v>962545363.39999998</v>
      </c>
      <c r="K244" s="167">
        <f t="shared" si="15"/>
        <v>0.99998489422845727</v>
      </c>
      <c r="L244" s="224">
        <f>SUM('SGTO POAI 2024 ARMONIZADO'!AW458:AW459)</f>
        <v>960897186.39999998</v>
      </c>
      <c r="M244" s="166">
        <f t="shared" si="16"/>
        <v>0.99827260910851956</v>
      </c>
    </row>
    <row r="245" spans="1:13" s="142" customFormat="1" ht="60" customHeight="1" x14ac:dyDescent="0.25">
      <c r="A245" s="108">
        <v>319</v>
      </c>
      <c r="B245" s="108">
        <f>'SGTO POAI 2024 ARMONIZADO'!E459</f>
        <v>1</v>
      </c>
      <c r="C245" s="109" t="str">
        <f>'SGTO POAI 2024 ARMONIZADO'!F459</f>
        <v>Social, Inclusiva y Participativa. "En el Quindío todos caben y nadie se quedan atrás".</v>
      </c>
      <c r="D245" s="108" t="str">
        <f>'SGTO POAI 2024 ARMONIZADO'!I460</f>
        <v>4301</v>
      </c>
      <c r="E245" s="17" t="str">
        <f>'SGTO POAI 2024 ARMONIZADO'!J460</f>
        <v>Fomento a la recreación, la actividad física y el deporte</v>
      </c>
      <c r="F245" s="15">
        <f>F244+1</f>
        <v>222</v>
      </c>
      <c r="G245" s="108">
        <f>'SGTO POAI 2024 ARMONIZADO'!R460</f>
        <v>2024003630029</v>
      </c>
      <c r="H245" s="115" t="str">
        <f>'SGTO POAI 2024 ARMONIZADO'!S460</f>
        <v>Fortalecimiento de hábitos y estilos de vida saludables a través de la actividad física, la recreación y el deporte en el departamento del Quindío</v>
      </c>
      <c r="I245" s="224">
        <f>SUM('SGTO POAI 2024 ARMONIZADO'!AU460:AU465)</f>
        <v>3046586643.0900002</v>
      </c>
      <c r="J245" s="224">
        <f>SUM('SGTO POAI 2024 ARMONIZADO'!AV460:AV465)</f>
        <v>1349792891.29</v>
      </c>
      <c r="K245" s="167">
        <f t="shared" si="15"/>
        <v>0.44305087936740006</v>
      </c>
      <c r="L245" s="224">
        <f>SUM('SGTO POAI 2024 ARMONIZADO'!AW460:AW465)</f>
        <v>1001217130.78</v>
      </c>
      <c r="M245" s="166">
        <f t="shared" si="16"/>
        <v>0.32863569892255406</v>
      </c>
    </row>
    <row r="246" spans="1:13" s="142" customFormat="1" ht="60" customHeight="1" x14ac:dyDescent="0.25">
      <c r="A246" s="108">
        <v>319</v>
      </c>
      <c r="B246" s="108">
        <f>'SGTO POAI 2024 ARMONIZADO'!E460</f>
        <v>1</v>
      </c>
      <c r="C246" s="109" t="str">
        <f>'SGTO POAI 2024 ARMONIZADO'!F460</f>
        <v>Social, Inclusiva y Participativa. "En el Quindío todos caben y nadie se quedan atrás".</v>
      </c>
      <c r="D246" s="108">
        <f>'SGTO POAI 2024 ARMONIZADO'!I466</f>
        <v>4302</v>
      </c>
      <c r="E246" s="17" t="str">
        <f>'SGTO POAI 2024 ARMONIZADO'!J466</f>
        <v>Formación y preparación de deportistas</v>
      </c>
      <c r="F246" s="15">
        <f>F245+1</f>
        <v>223</v>
      </c>
      <c r="G246" s="108">
        <f>'SGTO POAI 2024 ARMONIZADO'!R466</f>
        <v>2020003630010</v>
      </c>
      <c r="H246" s="115" t="str">
        <f>'SGTO POAI 2024 ARMONIZADO'!S466</f>
        <v>Fortalecimiento al deporte competitivo y de altos logros "TU Y    YO SOMOS SALVAVIDAS POR UN QUINDIO GANADOR" en el Departamento del Quindío</v>
      </c>
      <c r="I246" s="224">
        <f>'SGTO POAI 2024 ARMONIZADO'!AU466</f>
        <v>2401679067.9299998</v>
      </c>
      <c r="J246" s="224">
        <f>'SGTO POAI 2024 ARMONIZADO'!AV466</f>
        <v>2400158067.9299998</v>
      </c>
      <c r="K246" s="167">
        <f t="shared" si="15"/>
        <v>0.99936669306889914</v>
      </c>
      <c r="L246" s="224">
        <f>'SGTO POAI 2024 ARMONIZADO'!AW466</f>
        <v>2214209289.98</v>
      </c>
      <c r="M246" s="166">
        <f t="shared" si="16"/>
        <v>0.92194220266424709</v>
      </c>
    </row>
    <row r="247" spans="1:13" s="142" customFormat="1" ht="60" customHeight="1" x14ac:dyDescent="0.25">
      <c r="A247" s="108">
        <v>319</v>
      </c>
      <c r="B247" s="108">
        <f>'SGTO POAI 2024 ARMONIZADO'!E461</f>
        <v>1</v>
      </c>
      <c r="C247" s="109" t="str">
        <f>'SGTO POAI 2024 ARMONIZADO'!F461</f>
        <v>Social, Inclusiva y Participativa. "En el Quindío todos caben y nadie se quedan atrás".</v>
      </c>
      <c r="D247" s="108" t="str">
        <f>'SGTO POAI 2024 ARMONIZADO'!I467</f>
        <v>4302</v>
      </c>
      <c r="E247" s="17" t="str">
        <f>'SGTO POAI 2024 ARMONIZADO'!J467</f>
        <v>Formación y preparación de deportistas</v>
      </c>
      <c r="F247" s="15">
        <f>F246+1</f>
        <v>224</v>
      </c>
      <c r="G247" s="108">
        <f>'SGTO POAI 2024 ARMONIZADO'!R467</f>
        <v>2024003630017</v>
      </c>
      <c r="H247" s="115" t="str">
        <f>'SGTO POAI 2024 ARMONIZADO'!S467</f>
        <v>Fortalecimiento de la formación y preparación deportiva a través de los organismos deportivos en el departamento del Quindío</v>
      </c>
      <c r="I247" s="224">
        <f>SUM('SGTO POAI 2024 ARMONIZADO'!AU467:AU468)</f>
        <v>4977651967.75</v>
      </c>
      <c r="J247" s="224">
        <f>SUM('SGTO POAI 2024 ARMONIZADO'!AV467:AV468)</f>
        <v>3411062761.4500003</v>
      </c>
      <c r="K247" s="167">
        <f t="shared" si="15"/>
        <v>0.68527546392357963</v>
      </c>
      <c r="L247" s="224">
        <f>SUM('SGTO POAI 2024 ARMONIZADO'!AW467:AW468)</f>
        <v>2658617555.4400001</v>
      </c>
      <c r="M247" s="166">
        <f t="shared" si="16"/>
        <v>0.53411077605768198</v>
      </c>
    </row>
    <row r="248" spans="1:13" s="142" customFormat="1" ht="21.75" customHeight="1" x14ac:dyDescent="0.25">
      <c r="A248" s="16">
        <v>320</v>
      </c>
      <c r="B248" s="16"/>
      <c r="C248" s="16"/>
      <c r="D248" s="187"/>
      <c r="E248" s="12"/>
      <c r="F248" s="5" t="s">
        <v>1137</v>
      </c>
      <c r="G248" s="188"/>
      <c r="H248" s="10"/>
      <c r="I248" s="223">
        <f>SUM(I249:I260)</f>
        <v>7587582384.749999</v>
      </c>
      <c r="J248" s="223">
        <f>SUM(J249:J260)</f>
        <v>4776476950.0799999</v>
      </c>
      <c r="K248" s="168">
        <f t="shared" si="15"/>
        <v>0.62951236742813677</v>
      </c>
      <c r="L248" s="223">
        <f>SUM(L249:L260)</f>
        <v>2314433625.4000001</v>
      </c>
      <c r="M248" s="168">
        <f t="shared" si="16"/>
        <v>0.3050291262802885</v>
      </c>
    </row>
    <row r="249" spans="1:13" s="142" customFormat="1" ht="48" customHeight="1" x14ac:dyDescent="0.25">
      <c r="A249" s="108">
        <v>320</v>
      </c>
      <c r="B249" s="108">
        <f>'SGTO POAI 2024 ARMONIZADO'!E469</f>
        <v>1</v>
      </c>
      <c r="C249" s="109" t="str">
        <f>'SGTO POAI 2024 ARMONIZADO'!F469</f>
        <v>Social, Inclusiva y Participativa. "En el Quindío todos caben y nadie se quedan atrás".</v>
      </c>
      <c r="D249" s="108">
        <f>'SGTO POAI 2024 ARMONIZADO'!I469</f>
        <v>4301</v>
      </c>
      <c r="E249" s="17" t="str">
        <f>'SGTO POAI 2024 ARMONIZADO'!J469</f>
        <v>Fomento a la recreación, la actividad física y el deporte para desarrollar entornos de convivencia y paz</v>
      </c>
      <c r="F249" s="15">
        <f>F247+1</f>
        <v>225</v>
      </c>
      <c r="G249" s="108">
        <f>'SGTO POAI 2024 ARMONIZADO'!R469</f>
        <v>2020003630142</v>
      </c>
      <c r="H249" s="115" t="str">
        <f>'SGTO POAI 2024 ARMONIZADO'!S469</f>
        <v>Mantenimiento de obras complementarias de la infraestructura  deportiva y recreativa en el Departamento del Quindío.</v>
      </c>
      <c r="I249" s="224">
        <f>'SGTO POAI 2024 ARMONIZADO'!AU469</f>
        <v>608861858.32000017</v>
      </c>
      <c r="J249" s="224">
        <f>'SGTO POAI 2024 ARMONIZADO'!AV469</f>
        <v>608861858.32000017</v>
      </c>
      <c r="K249" s="167">
        <f t="shared" si="15"/>
        <v>1</v>
      </c>
      <c r="L249" s="224">
        <f>'SGTO POAI 2024 ARMONIZADO'!AW469</f>
        <v>601038427.76999998</v>
      </c>
      <c r="M249" s="166">
        <f t="shared" si="16"/>
        <v>0.98715072977048202</v>
      </c>
    </row>
    <row r="250" spans="1:13" s="142" customFormat="1" ht="36.75" customHeight="1" x14ac:dyDescent="0.25">
      <c r="A250" s="108">
        <v>320</v>
      </c>
      <c r="B250" s="108">
        <f>'SGTO POAI 2024 ARMONIZADO'!E470</f>
        <v>1</v>
      </c>
      <c r="C250" s="109" t="str">
        <f>'SGTO POAI 2024 ARMONIZADO'!F470</f>
        <v>Social, Inclusiva y Participativa. "En el Quindío todos caben y nadie se quedan atrás".</v>
      </c>
      <c r="D250" s="108" t="str">
        <f>'SGTO POAI 2024 ARMONIZADO'!I470</f>
        <v>4301</v>
      </c>
      <c r="E250" s="17" t="str">
        <f>'SGTO POAI 2024 ARMONIZADO'!J470</f>
        <v>Fomento a la recreación, la actividad física y el deporte</v>
      </c>
      <c r="F250" s="15">
        <f>F249+1</f>
        <v>226</v>
      </c>
      <c r="G250" s="108">
        <f>'SGTO POAI 2024 ARMONIZADO'!R470</f>
        <v>2024003630012</v>
      </c>
      <c r="H250" s="115" t="str">
        <f>'SGTO POAI 2024 ARMONIZADO'!S470</f>
        <v>Fortalecimiento de La Infraestructura Deportiva y Recreativa En El Departamento Del Quindio</v>
      </c>
      <c r="I250" s="224">
        <f>SUM('SGTO POAI 2024 ARMONIZADO'!AU470:AU471)</f>
        <v>1191314195.29</v>
      </c>
      <c r="J250" s="224">
        <f>SUM('SGTO POAI 2024 ARMONIZADO'!AV470:AV471)</f>
        <v>551024660.77999997</v>
      </c>
      <c r="K250" s="167">
        <f t="shared" si="15"/>
        <v>0.46253512545937958</v>
      </c>
      <c r="L250" s="224">
        <f>SUM('SGTO POAI 2024 ARMONIZADO'!AW470:AW471)</f>
        <v>240522044</v>
      </c>
      <c r="M250" s="166">
        <f t="shared" si="16"/>
        <v>0.20189639723167241</v>
      </c>
    </row>
    <row r="251" spans="1:13" s="142" customFormat="1" ht="45.75" customHeight="1" x14ac:dyDescent="0.25">
      <c r="A251" s="108">
        <v>320</v>
      </c>
      <c r="B251" s="108">
        <f>'SGTO POAI 2024 ARMONIZADO'!E472</f>
        <v>1</v>
      </c>
      <c r="C251" s="109" t="str">
        <f>'SGTO POAI 2024 ARMONIZADO'!F472</f>
        <v>Social, Inclusiva y Participativa. "En el Quindío todos caben y nadie se quedan atrás".</v>
      </c>
      <c r="D251" s="108">
        <f>'SGTO POAI 2024 ARMONIZADO'!I472</f>
        <v>2201</v>
      </c>
      <c r="E251" s="17" t="str">
        <f>'SGTO POAI 2024 ARMONIZADO'!J472</f>
        <v>Calidad, cobertura y fortalecimiento de la educación inicial, prescolar, básica y media</v>
      </c>
      <c r="F251" s="15">
        <f t="shared" ref="F251:F260" si="17">F250+1</f>
        <v>227</v>
      </c>
      <c r="G251" s="108">
        <f>'SGTO POAI 2024 ARMONIZADO'!R472</f>
        <v>2020003630143</v>
      </c>
      <c r="H251" s="115" t="str">
        <f>'SGTO POAI 2024 ARMONIZADO'!S472</f>
        <v>Mantenimiento de obras complementarias en la Infraestructura educativa en el Departamento del Quindío.</v>
      </c>
      <c r="I251" s="224">
        <f>'SGTO POAI 2024 ARMONIZADO'!AU472</f>
        <v>598941502.33999991</v>
      </c>
      <c r="J251" s="224">
        <f>'SGTO POAI 2024 ARMONIZADO'!AV472</f>
        <v>598941502.33999991</v>
      </c>
      <c r="K251" s="167">
        <f t="shared" si="15"/>
        <v>1</v>
      </c>
      <c r="L251" s="224">
        <f>'SGTO POAI 2024 ARMONIZADO'!AW472</f>
        <v>583250953.63</v>
      </c>
      <c r="M251" s="166">
        <f t="shared" si="16"/>
        <v>0.97380286948107853</v>
      </c>
    </row>
    <row r="252" spans="1:13" s="142" customFormat="1" ht="41.25" customHeight="1" x14ac:dyDescent="0.25">
      <c r="A252" s="108">
        <v>320</v>
      </c>
      <c r="B252" s="108">
        <f>'SGTO POAI 2024 ARMONIZADO'!E473</f>
        <v>1</v>
      </c>
      <c r="C252" s="109" t="str">
        <f>'SGTO POAI 2024 ARMONIZADO'!F473</f>
        <v>Social, Inclusiva y Participativa. "En el Quindío todos caben y nadie se quedan atrás".</v>
      </c>
      <c r="D252" s="108">
        <f>'SGTO POAI 2024 ARMONIZADO'!I473</f>
        <v>2201</v>
      </c>
      <c r="E252" s="17" t="str">
        <f>'SGTO POAI 2024 ARMONIZADO'!J473</f>
        <v>Calidad, cobertura y fortalecimiento de la educación inicial, prescolar, básica y media</v>
      </c>
      <c r="F252" s="15">
        <f t="shared" si="17"/>
        <v>228</v>
      </c>
      <c r="G252" s="108">
        <f>'SGTO POAI 2024 ARMONIZADO'!R473</f>
        <v>2024003630011</v>
      </c>
      <c r="H252" s="115" t="str">
        <f>'SGTO POAI 2024 ARMONIZADO'!S473</f>
        <v>Fortalecimiento de la infraestructura educativa en el departamento del Quindío</v>
      </c>
      <c r="I252" s="224">
        <f>SUM('SGTO POAI 2024 ARMONIZADO'!AU473:AU474)</f>
        <v>1622892497.6600001</v>
      </c>
      <c r="J252" s="224">
        <f>SUM('SGTO POAI 2024 ARMONIZADO'!AV473:AV474)</f>
        <v>1275635646</v>
      </c>
      <c r="K252" s="167">
        <f t="shared" si="15"/>
        <v>0.78602596773310662</v>
      </c>
      <c r="L252" s="224">
        <f>SUM('SGTO POAI 2024 ARMONIZADO'!AW473:AW474)</f>
        <v>222025000</v>
      </c>
      <c r="M252" s="166">
        <f t="shared" si="16"/>
        <v>0.13680819913834785</v>
      </c>
    </row>
    <row r="253" spans="1:13" s="142" customFormat="1" ht="45" customHeight="1" x14ac:dyDescent="0.25">
      <c r="A253" s="108">
        <v>320</v>
      </c>
      <c r="B253" s="108">
        <f>'SGTO POAI 2024 ARMONIZADO'!E475</f>
        <v>3</v>
      </c>
      <c r="C253" s="109" t="str">
        <f>'SGTO POAI 2024 ARMONIZADO'!F475</f>
        <v>CONVERGENCIA TERRITORIAL “Quindío interconectado territorialmente, donde el progreso y las oportunidades llegan a todos los rincones”</v>
      </c>
      <c r="D253" s="108">
        <f>'SGTO POAI 2024 ARMONIZADO'!I475</f>
        <v>2402</v>
      </c>
      <c r="E253" s="17" t="str">
        <f>'SGTO POAI 2024 ARMONIZADO'!J475</f>
        <v xml:space="preserve">Infraestructura red vial regional </v>
      </c>
      <c r="F253" s="15">
        <f t="shared" si="17"/>
        <v>229</v>
      </c>
      <c r="G253" s="108">
        <f>'SGTO POAI 2024 ARMONIZADO'!R475</f>
        <v>2020003630144</v>
      </c>
      <c r="H253" s="115" t="str">
        <f>'SGTO POAI 2024 ARMONIZADO'!S475</f>
        <v xml:space="preserve"> Mantenimiento de obras complementarias a la infraestructura vial en el Departamento del Quindío</v>
      </c>
      <c r="I253" s="224">
        <f>'SGTO POAI 2024 ARMONIZADO'!AU475</f>
        <v>302527483</v>
      </c>
      <c r="J253" s="224">
        <f>'SGTO POAI 2024 ARMONIZADO'!AV475</f>
        <v>302527483</v>
      </c>
      <c r="K253" s="167">
        <f t="shared" si="15"/>
        <v>1</v>
      </c>
      <c r="L253" s="224">
        <f>'SGTO POAI 2024 ARMONIZADO'!AW475</f>
        <v>208634700</v>
      </c>
      <c r="M253" s="166">
        <f t="shared" si="16"/>
        <v>0.68963883192060271</v>
      </c>
    </row>
    <row r="254" spans="1:13" s="142" customFormat="1" ht="39.75" customHeight="1" x14ac:dyDescent="0.25">
      <c r="A254" s="108">
        <v>320</v>
      </c>
      <c r="B254" s="108">
        <f>'SGTO POAI 2024 ARMONIZADO'!E476</f>
        <v>3</v>
      </c>
      <c r="C254" s="109" t="str">
        <f>'SGTO POAI 2024 ARMONIZADO'!F476</f>
        <v>Convergencia Territorial.  “Quindío interconectado territorialmente, donde el progreso y las oportunidades llegan a todos los rincones”</v>
      </c>
      <c r="D254" s="108" t="str">
        <f>'SGTO POAI 2024 ARMONIZADO'!I476</f>
        <v>2402</v>
      </c>
      <c r="E254" s="17" t="str">
        <f>'SGTO POAI 2024 ARMONIZADO'!J476</f>
        <v>Infraestructura red vial regional</v>
      </c>
      <c r="F254" s="15">
        <f t="shared" si="17"/>
        <v>230</v>
      </c>
      <c r="G254" s="108">
        <f>'SGTO POAI 2024 ARMONIZADO'!R476</f>
        <v>2024003630013</v>
      </c>
      <c r="H254" s="115" t="str">
        <f>'SGTO POAI 2024 ARMONIZADO'!S476</f>
        <v>Mantenimiento de la infraestructura vial del departamento del Quindío</v>
      </c>
      <c r="I254" s="224">
        <f>SUM('SGTO POAI 2024 ARMONIZADO'!AU476:AU477)</f>
        <v>697953517</v>
      </c>
      <c r="J254" s="224">
        <f>SUM('SGTO POAI 2024 ARMONIZADO'!AV476:AV477)</f>
        <v>423064884.5</v>
      </c>
      <c r="K254" s="167">
        <f t="shared" si="15"/>
        <v>0.60615051603787529</v>
      </c>
      <c r="L254" s="224">
        <f>SUM('SGTO POAI 2024 ARMONIZADO'!AW476:AW477)</f>
        <v>54450000</v>
      </c>
      <c r="M254" s="166">
        <f t="shared" si="16"/>
        <v>7.8013791282321165E-2</v>
      </c>
    </row>
    <row r="255" spans="1:13" s="142" customFormat="1" ht="42" customHeight="1" x14ac:dyDescent="0.25">
      <c r="A255" s="108">
        <v>320</v>
      </c>
      <c r="B255" s="108">
        <f>'SGTO POAI 2024 ARMONIZADO'!E479</f>
        <v>3</v>
      </c>
      <c r="C255" s="109" t="str">
        <f>'SGTO POAI 2024 ARMONIZADO'!F478</f>
        <v>Convergencia Territorial.  “Quindío interconectado territorialmente, donde el progreso y las oportunidades llegan a todos los rincones”</v>
      </c>
      <c r="D255" s="108">
        <f>'SGTO POAI 2024 ARMONIZADO'!I478</f>
        <v>4001</v>
      </c>
      <c r="E255" s="17" t="str">
        <f>'SGTO POAI 2024 ARMONIZADO'!J478</f>
        <v>Acceso a soluciones de vivienda</v>
      </c>
      <c r="F255" s="15">
        <f t="shared" si="17"/>
        <v>231</v>
      </c>
      <c r="G255" s="108">
        <f>'SGTO POAI 2024 ARMONIZADO'!R478</f>
        <v>2020003630145</v>
      </c>
      <c r="H255" s="115" t="str">
        <f>'SGTO POAI 2024 ARMONIZADO'!S478</f>
        <v xml:space="preserve">Apoyo en la formulación y ejecución de proyectos de vivienda en el Departamento del Quindío  </v>
      </c>
      <c r="I255" s="224">
        <f>SUM('SGTO POAI 2024 ARMONIZADO'!AU478:AU480)</f>
        <v>92525000</v>
      </c>
      <c r="J255" s="224">
        <f>SUM('SGTO POAI 2024 ARMONIZADO'!AV478:AV480)</f>
        <v>92525000</v>
      </c>
      <c r="K255" s="167">
        <f t="shared" si="15"/>
        <v>1</v>
      </c>
      <c r="L255" s="224">
        <f>SUM('SGTO POAI 2024 ARMONIZADO'!AW478:AW480)</f>
        <v>91825000</v>
      </c>
      <c r="M255" s="166">
        <f t="shared" si="16"/>
        <v>0.99243447716833288</v>
      </c>
    </row>
    <row r="256" spans="1:13" s="142" customFormat="1" ht="40.5" customHeight="1" x14ac:dyDescent="0.25">
      <c r="A256" s="108">
        <v>320</v>
      </c>
      <c r="B256" s="108">
        <f>'SGTO POAI 2024 ARMONIZADO'!E481</f>
        <v>3</v>
      </c>
      <c r="C256" s="109" t="str">
        <f>'SGTO POAI 2024 ARMONIZADO'!F481</f>
        <v>Convergencia Territorial.  “Quindío interconectado territorialmente, donde el progreso y las oportunidades llegan a todos los rincones”</v>
      </c>
      <c r="D256" s="108" t="str">
        <f>'SGTO POAI 2024 ARMONIZADO'!I481</f>
        <v>4001</v>
      </c>
      <c r="E256" s="17" t="str">
        <f>'SGTO POAI 2024 ARMONIZADO'!J481</f>
        <v>Acceso a soluciones de vivienda</v>
      </c>
      <c r="F256" s="15">
        <f t="shared" si="17"/>
        <v>232</v>
      </c>
      <c r="G256" s="108">
        <f>'SGTO POAI 2024 ARMONIZADO'!R481</f>
        <v>2024003630016</v>
      </c>
      <c r="H256" s="115" t="str">
        <f>'SGTO POAI 2024 ARMONIZADO'!S481</f>
        <v xml:space="preserve"> Fortalecimiento del sector vivienda en el departamento del Quindio </v>
      </c>
      <c r="I256" s="224">
        <f>SUM('SGTO POAI 2024 ARMONIZADO'!AU481:AU484)</f>
        <v>1133475000</v>
      </c>
      <c r="J256" s="224">
        <f>SUM('SGTO POAI 2024 ARMONIZADO'!AV481:AV484)</f>
        <v>253600000</v>
      </c>
      <c r="K256" s="167">
        <f t="shared" si="15"/>
        <v>0.22373673879000419</v>
      </c>
      <c r="L256" s="224">
        <f>SUM('SGTO POAI 2024 ARMONIZADO'!AW481:AW484)</f>
        <v>143235000</v>
      </c>
      <c r="M256" s="166">
        <f t="shared" si="16"/>
        <v>0.12636802752597101</v>
      </c>
    </row>
    <row r="257" spans="1:13" s="142" customFormat="1" ht="46.5" customHeight="1" x14ac:dyDescent="0.25">
      <c r="A257" s="108">
        <v>320</v>
      </c>
      <c r="B257" s="108">
        <f>'SGTO POAI 2024 ARMONIZADO'!E485</f>
        <v>4</v>
      </c>
      <c r="C257" s="109" t="str">
        <f>'SGTO POAI 2024 ARMONIZADO'!F485</f>
        <v>Gobernabilidad, Fortalecimiento Institucional y Seguridad. “Quindío territorio seguro y confiable”</v>
      </c>
      <c r="D257" s="108">
        <f>'SGTO POAI 2024 ARMONIZADO'!I485</f>
        <v>4599</v>
      </c>
      <c r="E257" s="17" t="str">
        <f>'SGTO POAI 2024 ARMONIZADO'!J485</f>
        <v xml:space="preserve">Fortalecimiento a la gestión y dirección de la administración pública territorial </v>
      </c>
      <c r="F257" s="15">
        <f t="shared" si="17"/>
        <v>233</v>
      </c>
      <c r="G257" s="108">
        <f>'SGTO POAI 2024 ARMONIZADO'!R485</f>
        <v>2022003630006</v>
      </c>
      <c r="H257" s="115" t="str">
        <f>'SGTO POAI 2024 ARMONIZADO'!S485</f>
        <v>Mantenimiento de los edificios públicos y/o equipamientos colectivos y comunitarios en el Departamento del Quindío.</v>
      </c>
      <c r="I257" s="224">
        <f>'SGTO POAI 2024 ARMONIZADO'!AU485</f>
        <v>73575000.00000006</v>
      </c>
      <c r="J257" s="224">
        <f>'SGTO POAI 2024 ARMONIZADO'!AV485</f>
        <v>73575000.00000006</v>
      </c>
      <c r="K257" s="167">
        <f t="shared" si="15"/>
        <v>1</v>
      </c>
      <c r="L257" s="224">
        <f>'SGTO POAI 2024 ARMONIZADO'!AW485</f>
        <v>68437500</v>
      </c>
      <c r="M257" s="166">
        <f t="shared" si="16"/>
        <v>0.93017329255861292</v>
      </c>
    </row>
    <row r="258" spans="1:13" s="142" customFormat="1" ht="49.5" customHeight="1" x14ac:dyDescent="0.25">
      <c r="A258" s="108">
        <v>320</v>
      </c>
      <c r="B258" s="108">
        <f>'SGTO POAI 2024 ARMONIZADO'!E486</f>
        <v>4</v>
      </c>
      <c r="C258" s="109" t="str">
        <f>'SGTO POAI 2024 ARMONIZADO'!F486</f>
        <v>Gobernabilidad, Fortalecimiento Institucional y Seguridad. “Quindío territorio seguro y confiable”</v>
      </c>
      <c r="D258" s="108" t="str">
        <f>'SGTO POAI 2024 ARMONIZADO'!I486</f>
        <v>4599</v>
      </c>
      <c r="E258" s="17" t="str">
        <f>'SGTO POAI 2024 ARMONIZADO'!J486</f>
        <v>Fortalecimiento a la gestión y dirección de la administración pública territorial</v>
      </c>
      <c r="F258" s="15">
        <f t="shared" si="17"/>
        <v>234</v>
      </c>
      <c r="G258" s="108">
        <f>'SGTO POAI 2024 ARMONIZADO'!R486</f>
        <v>2024003630015</v>
      </c>
      <c r="H258" s="115" t="str">
        <f>'SGTO POAI 2024 ARMONIZADO'!S486</f>
        <v>Mantenimiento de los edificios públicos y/o equipamientos colectivos y comunitarios en el Departamento del Quindío.</v>
      </c>
      <c r="I258" s="224">
        <f>'SGTO POAI 2024 ARMONIZADO'!AU486</f>
        <v>353710680.01999998</v>
      </c>
      <c r="J258" s="224">
        <f>'SGTO POAI 2024 ARMONIZADO'!AV486</f>
        <v>292385680.01999998</v>
      </c>
      <c r="K258" s="167">
        <f t="shared" si="15"/>
        <v>0.82662383845313214</v>
      </c>
      <c r="L258" s="224">
        <f>'SGTO POAI 2024 ARMONIZADO'!AW486</f>
        <v>57550000</v>
      </c>
      <c r="M258" s="166">
        <f t="shared" si="16"/>
        <v>0.16270359717932728</v>
      </c>
    </row>
    <row r="259" spans="1:13" s="142" customFormat="1" ht="57" customHeight="1" x14ac:dyDescent="0.25">
      <c r="A259" s="108">
        <v>320</v>
      </c>
      <c r="B259" s="108">
        <f>'SGTO POAI 2024 ARMONIZADO'!E487</f>
        <v>3</v>
      </c>
      <c r="C259" s="109" t="str">
        <f>'SGTO POAI 2024 ARMONIZADO'!F487</f>
        <v>CONVERGENCIA TERRITORIAL “Quindío interconectado territorialmente, donde el progreso y las oportunidades llegan a todos los rincones”</v>
      </c>
      <c r="D259" s="108">
        <f>'SGTO POAI 2024 ARMONIZADO'!I487</f>
        <v>4003</v>
      </c>
      <c r="E259" s="17" t="str">
        <f>'SGTO POAI 2024 ARMONIZADO'!J487</f>
        <v xml:space="preserve"> Acceso de la población a los servicios de agua potable y saneamiento básico </v>
      </c>
      <c r="F259" s="15">
        <f t="shared" si="17"/>
        <v>235</v>
      </c>
      <c r="G259" s="108" t="str">
        <f>'SGTO POAI 2024 ARMONIZADO'!R487</f>
        <v> 2023003630001</v>
      </c>
      <c r="H259" s="115" t="str">
        <f>'SGTO POAI 2024 ARMONIZADO'!S487</f>
        <v>Construcción y/o mejoramiento de las redes de acueducto y alcantarillado en los municipios del departamento del Quindío</v>
      </c>
      <c r="I259" s="224">
        <f>'SGTO POAI 2024 ARMONIZADO'!AU487</f>
        <v>161805651.12</v>
      </c>
      <c r="J259" s="224">
        <f>'SGTO POAI 2024 ARMONIZADO'!AV487</f>
        <v>161805651.12</v>
      </c>
      <c r="K259" s="167">
        <f t="shared" si="15"/>
        <v>1</v>
      </c>
      <c r="L259" s="224">
        <f>'SGTO POAI 2024 ARMONIZADO'!AW487</f>
        <v>0</v>
      </c>
      <c r="M259" s="166">
        <f t="shared" si="16"/>
        <v>0</v>
      </c>
    </row>
    <row r="260" spans="1:13" s="142" customFormat="1" ht="57" customHeight="1" x14ac:dyDescent="0.25">
      <c r="A260" s="108">
        <v>320</v>
      </c>
      <c r="B260" s="108">
        <f>'SGTO POAI 2024 ARMONIZADO'!E488</f>
        <v>3</v>
      </c>
      <c r="C260" s="109" t="str">
        <f>'SGTO POAI 2024 ARMONIZADO'!F488</f>
        <v>Convergencia Territorial.  “Quindío interconectado territorialmente, donde el progreso y las oportunidades llegan a todos los rincones”</v>
      </c>
      <c r="D260" s="108" t="str">
        <f>'SGTO POAI 2024 ARMONIZADO'!I488</f>
        <v>4003</v>
      </c>
      <c r="E260" s="17" t="str">
        <f>'SGTO POAI 2024 ARMONIZADO'!J488</f>
        <v>Acceso de la población a los servicios de agua potable y saneamiento básico</v>
      </c>
      <c r="F260" s="15">
        <f t="shared" si="17"/>
        <v>236</v>
      </c>
      <c r="G260" s="108">
        <f>'SGTO POAI 2024 ARMONIZADO'!R488</f>
        <v>2024003630007</v>
      </c>
      <c r="H260" s="115" t="str">
        <f>'SGTO POAI 2024 ARMONIZADO'!S488</f>
        <v>Fortalecimiento de las redes de acueducto y alcantarillado en los municipios del departamento del Quindío</v>
      </c>
      <c r="I260" s="224">
        <f>SUM('SGTO POAI 2024 ARMONIZADO'!AU488:AU489)</f>
        <v>750000000</v>
      </c>
      <c r="J260" s="224">
        <f>SUM('SGTO POAI 2024 ARMONIZADO'!AV488:AV489)</f>
        <v>142529584</v>
      </c>
      <c r="K260" s="167">
        <f t="shared" ref="K260:K264" si="18">J260/I260</f>
        <v>0.19003944533333333</v>
      </c>
      <c r="L260" s="224">
        <f>SUM('SGTO POAI 2024 ARMONIZADO'!AW488:AW489)</f>
        <v>43465000</v>
      </c>
      <c r="M260" s="166">
        <f t="shared" ref="M260:M264" si="19">L260/I260</f>
        <v>5.7953333333333336E-2</v>
      </c>
    </row>
    <row r="261" spans="1:13" s="142" customFormat="1" ht="33.75" customHeight="1" x14ac:dyDescent="0.25">
      <c r="A261" s="16">
        <v>321</v>
      </c>
      <c r="B261" s="16"/>
      <c r="C261" s="16"/>
      <c r="D261" s="187"/>
      <c r="E261" s="12"/>
      <c r="F261" s="5" t="s">
        <v>1138</v>
      </c>
      <c r="G261" s="6"/>
      <c r="H261" s="6"/>
      <c r="I261" s="223">
        <f>SUM(I262:I263)</f>
        <v>390117441.65999997</v>
      </c>
      <c r="J261" s="223">
        <f>SUM(J262:J263)</f>
        <v>348459998</v>
      </c>
      <c r="K261" s="168">
        <f t="shared" si="18"/>
        <v>0.89321819736451114</v>
      </c>
      <c r="L261" s="223">
        <f>SUM(L262:L263)</f>
        <v>190370370</v>
      </c>
      <c r="M261" s="168">
        <f t="shared" si="19"/>
        <v>0.48798220656310459</v>
      </c>
    </row>
    <row r="262" spans="1:13" s="142" customFormat="1" ht="63.75" customHeight="1" x14ac:dyDescent="0.25">
      <c r="A262" s="108">
        <v>321</v>
      </c>
      <c r="B262" s="108">
        <f>'SGTO POAI 2024 ARMONIZADO'!E490</f>
        <v>3</v>
      </c>
      <c r="C262" s="109" t="str">
        <f>'SGTO POAI 2024 ARMONIZADO'!F490</f>
        <v>Convergencia Territorial.  “Quindío interconectado territorialmente, donde el progreso y las oportunidades llegan a todos los rincones”</v>
      </c>
      <c r="D262" s="108">
        <f>'SGTO POAI 2024 ARMONIZADO'!I490</f>
        <v>2409</v>
      </c>
      <c r="E262" s="17" t="str">
        <f>'SGTO POAI 2024 ARMONIZADO'!J490</f>
        <v>Seguridad de transporte</v>
      </c>
      <c r="F262" s="15">
        <f>F260+1</f>
        <v>237</v>
      </c>
      <c r="G262" s="108">
        <f>'SGTO POAI 2024 ARMONIZADO'!R490</f>
        <v>2020003630149</v>
      </c>
      <c r="H262" s="115" t="str">
        <f>'SGTO POAI 2024 ARMONIZADO'!S490</f>
        <v>Implementación del programa de seguridad vial en el Departamento del Quindío  "TU Y YO POR LA SEGURIDAD VIAL"</v>
      </c>
      <c r="I262" s="224">
        <f>SUM('SGTO POAI 2024 ARMONIZADO'!AU490:AU491)</f>
        <v>62450000.000000007</v>
      </c>
      <c r="J262" s="224">
        <f>SUM('SGTO POAI 2024 ARMONIZADO'!AV490:AV491)</f>
        <v>62450000</v>
      </c>
      <c r="K262" s="167">
        <f t="shared" si="18"/>
        <v>0.99999999999999989</v>
      </c>
      <c r="L262" s="224">
        <f>SUM('SGTO POAI 2024 ARMONIZADO'!AW490:AW491)</f>
        <v>62450000</v>
      </c>
      <c r="M262" s="166">
        <f t="shared" si="19"/>
        <v>0.99999999999999989</v>
      </c>
    </row>
    <row r="263" spans="1:13" s="142" customFormat="1" ht="55.5" customHeight="1" x14ac:dyDescent="0.25">
      <c r="A263" s="108">
        <v>321</v>
      </c>
      <c r="B263" s="108">
        <f>'SGTO POAI 2024 ARMONIZADO'!E492</f>
        <v>3</v>
      </c>
      <c r="C263" s="109" t="str">
        <f>'SGTO POAI 2024 ARMONIZADO'!F492</f>
        <v>Convergencia Territorial.  “Quindío interconectado territorialmente, donde el progreso y las oportunidades llegan a todos los rincones”</v>
      </c>
      <c r="D263" s="108">
        <f>'SGTO POAI 2024 ARMONIZADO'!I492</f>
        <v>2409</v>
      </c>
      <c r="E263" s="17" t="str">
        <f>'SGTO POAI 2024 ARMONIZADO'!J492</f>
        <v>Seguridad de transporte</v>
      </c>
      <c r="F263" s="15">
        <f>F262+1</f>
        <v>238</v>
      </c>
      <c r="G263" s="108">
        <f>'SGTO POAI 2024 ARMONIZADO'!R492</f>
        <v>2024003630018</v>
      </c>
      <c r="H263" s="115" t="str">
        <f>'SGTO POAI 2024 ARMONIZADO'!S492</f>
        <v>Fortalecimiento de la movilidad en las vías de la jurisdicción del Instituto Departamental de Tránsito del Quindío.</v>
      </c>
      <c r="I263" s="224">
        <f>SUM('SGTO POAI 2024 ARMONIZADO'!AU492:AU497)</f>
        <v>327667441.65999997</v>
      </c>
      <c r="J263" s="224">
        <f>SUM('SGTO POAI 2024 ARMONIZADO'!AV492:AV497)</f>
        <v>286009998</v>
      </c>
      <c r="K263" s="167">
        <f t="shared" si="18"/>
        <v>0.87286669847648368</v>
      </c>
      <c r="L263" s="224">
        <f>SUM('SGTO POAI 2024 ARMONIZADO'!AW492:AW497)</f>
        <v>127920370</v>
      </c>
      <c r="M263" s="166">
        <f t="shared" si="19"/>
        <v>0.39039695049328393</v>
      </c>
    </row>
    <row r="264" spans="1:13" ht="30" customHeight="1" x14ac:dyDescent="0.2">
      <c r="A264" s="170"/>
      <c r="B264" s="170"/>
      <c r="C264" s="170"/>
      <c r="D264" s="170"/>
      <c r="E264" s="171"/>
      <c r="F264" s="231" t="s">
        <v>1139</v>
      </c>
      <c r="G264" s="231"/>
      <c r="H264" s="231"/>
      <c r="I264" s="221">
        <f>SUM(I3,I30,I12,I26,I51,I76,I84,I98,I132,I139,I150,I191,I232,I243,I248,I261)</f>
        <v>494776796420.01996</v>
      </c>
      <c r="J264" s="221">
        <f>SUM(J3,J30,J12,J26,J51,J76,J84,J98,J132,J139,J150,J191,J232,J243,J248,J261)</f>
        <v>343611857017.5</v>
      </c>
      <c r="K264" s="172">
        <f t="shared" si="18"/>
        <v>0.69447851941263061</v>
      </c>
      <c r="L264" s="221">
        <f>SUM(L3,L30,L12,L26,L51,L76,L84,L98,L132,L139,L150,L191,L232,L243,L248,L261)</f>
        <v>303951747804.09003</v>
      </c>
      <c r="M264" s="172">
        <f t="shared" si="19"/>
        <v>0.61432094229831868</v>
      </c>
    </row>
    <row r="265" spans="1:13" x14ac:dyDescent="0.2">
      <c r="J265" s="116"/>
      <c r="K265" s="116"/>
      <c r="L265" s="116"/>
      <c r="M265" s="116"/>
    </row>
    <row r="267" spans="1:13" x14ac:dyDescent="0.2">
      <c r="J267" s="116"/>
      <c r="K267" s="116"/>
      <c r="L267" s="116"/>
      <c r="M267" s="116"/>
    </row>
    <row r="268" spans="1:13" x14ac:dyDescent="0.2">
      <c r="J268" s="116"/>
      <c r="K268" s="116"/>
      <c r="L268" s="116"/>
      <c r="M268" s="116"/>
    </row>
  </sheetData>
  <autoFilter ref="A2:L266" xr:uid="{00000000-0009-0000-0000-000002000000}"/>
  <mergeCells count="4">
    <mergeCell ref="F264:H264"/>
    <mergeCell ref="F243:G243"/>
    <mergeCell ref="G3:H3"/>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7"/>
  <sheetViews>
    <sheetView showGridLines="0" zoomScale="80" zoomScaleNormal="80" workbookViewId="0">
      <selection activeCell="A69" sqref="A69:XFD69"/>
    </sheetView>
  </sheetViews>
  <sheetFormatPr baseColWidth="10" defaultColWidth="11.42578125" defaultRowHeight="12.75" x14ac:dyDescent="0.2"/>
  <cols>
    <col min="1" max="1" width="43.7109375" style="68" customWidth="1"/>
    <col min="2" max="2" width="23.28515625" style="68" bestFit="1" customWidth="1"/>
    <col min="3" max="3" width="23.7109375" style="68" customWidth="1"/>
    <col min="4" max="4" width="15.7109375" style="68" customWidth="1"/>
    <col min="5" max="5" width="24.140625" style="68" customWidth="1"/>
    <col min="6" max="6" width="15.140625" style="68" customWidth="1"/>
    <col min="7" max="16384" width="11.42578125" style="68"/>
  </cols>
  <sheetData>
    <row r="1" spans="1:7" ht="57.75" customHeight="1" x14ac:dyDescent="0.2">
      <c r="A1" s="234" t="s">
        <v>1259</v>
      </c>
      <c r="B1" s="235"/>
      <c r="C1" s="235"/>
      <c r="D1" s="235"/>
      <c r="E1" s="235"/>
      <c r="F1" s="235"/>
      <c r="G1" s="119"/>
    </row>
    <row r="2" spans="1:7" ht="52.5" customHeight="1" x14ac:dyDescent="0.2">
      <c r="A2" s="126" t="s">
        <v>1204</v>
      </c>
      <c r="B2" s="127" t="s">
        <v>1124</v>
      </c>
      <c r="C2" s="127" t="s">
        <v>1201</v>
      </c>
      <c r="D2" s="127" t="s">
        <v>1236</v>
      </c>
      <c r="E2" s="127" t="s">
        <v>1202</v>
      </c>
      <c r="F2" s="127" t="s">
        <v>1237</v>
      </c>
    </row>
    <row r="3" spans="1:7" ht="27.75" customHeight="1" x14ac:dyDescent="0.2">
      <c r="A3" s="69" t="s">
        <v>1125</v>
      </c>
      <c r="B3" s="70">
        <f>B4</f>
        <v>540752326.99000001</v>
      </c>
      <c r="C3" s="70">
        <f>C4</f>
        <v>540626668</v>
      </c>
      <c r="D3" s="144">
        <f>C3/B3</f>
        <v>0.99976762191537949</v>
      </c>
      <c r="E3" s="150">
        <f>E4</f>
        <v>338950000</v>
      </c>
      <c r="F3" s="162">
        <f>E3/B3</f>
        <v>0.62681191200175479</v>
      </c>
    </row>
    <row r="4" spans="1:7" ht="27.75" customHeight="1" x14ac:dyDescent="0.2">
      <c r="A4" s="71" t="s">
        <v>1141</v>
      </c>
      <c r="B4" s="72">
        <f>SUM('SGTO POAI 2024 ARMONIZADO'!AL8:AL15)</f>
        <v>540752326.99000001</v>
      </c>
      <c r="C4" s="147">
        <f>SUM('SGTO POAI 2024 ARMONIZADO'!AM8:AM15)</f>
        <v>540626668</v>
      </c>
      <c r="D4" s="145">
        <f t="shared" ref="D4:D65" si="0">C4/B4</f>
        <v>0.99976762191537949</v>
      </c>
      <c r="E4" s="147">
        <f>SUM('SGTO POAI 2024 ARMONIZADO'!AN8:AN15)</f>
        <v>338950000</v>
      </c>
      <c r="F4" s="145">
        <f t="shared" ref="F4:F67" si="1">E4/B4</f>
        <v>0.62681191200175479</v>
      </c>
    </row>
    <row r="5" spans="1:7" ht="27.75" customHeight="1" x14ac:dyDescent="0.2">
      <c r="A5" s="73" t="s">
        <v>1142</v>
      </c>
      <c r="B5" s="74">
        <f>B6</f>
        <v>1638372589.23</v>
      </c>
      <c r="C5" s="148">
        <f>C6</f>
        <v>1572946858</v>
      </c>
      <c r="D5" s="162">
        <f t="shared" si="0"/>
        <v>0.96006663462262343</v>
      </c>
      <c r="E5" s="148">
        <f>E6</f>
        <v>1044668456</v>
      </c>
      <c r="F5" s="162">
        <f t="shared" si="1"/>
        <v>0.63762569202343145</v>
      </c>
    </row>
    <row r="6" spans="1:7" ht="27.75" customHeight="1" x14ac:dyDescent="0.2">
      <c r="A6" s="71" t="s">
        <v>1141</v>
      </c>
      <c r="B6" s="72">
        <f>SUM('SGTO POAI 2024 ARMONIZADO'!AL16:AL34)</f>
        <v>1638372589.23</v>
      </c>
      <c r="C6" s="147">
        <f>SUM('SGTO POAI 2024 ARMONIZADO'!AM16:AM34)</f>
        <v>1572946858</v>
      </c>
      <c r="D6" s="145">
        <f t="shared" si="0"/>
        <v>0.96006663462262343</v>
      </c>
      <c r="E6" s="147">
        <f>SUM('SGTO POAI 2024 ARMONIZADO'!AN16:AN34)</f>
        <v>1044668456</v>
      </c>
      <c r="F6" s="145">
        <f t="shared" si="1"/>
        <v>0.63762569202343145</v>
      </c>
    </row>
    <row r="7" spans="1:7" ht="27.75" customHeight="1" x14ac:dyDescent="0.2">
      <c r="A7" s="73" t="s">
        <v>1143</v>
      </c>
      <c r="B7" s="74">
        <f>SUM(B8:B10)</f>
        <v>5094906273.3999996</v>
      </c>
      <c r="C7" s="148">
        <f>SUM(C8:C10)</f>
        <v>4186848135.5799999</v>
      </c>
      <c r="D7" s="162">
        <f t="shared" si="0"/>
        <v>0.82177137535171529</v>
      </c>
      <c r="E7" s="148">
        <f>SUM(E8:E10)</f>
        <v>3168717985.5999999</v>
      </c>
      <c r="F7" s="162">
        <f t="shared" si="1"/>
        <v>0.62193842547085942</v>
      </c>
    </row>
    <row r="8" spans="1:7" ht="27.75" customHeight="1" x14ac:dyDescent="0.2">
      <c r="A8" s="75" t="s">
        <v>1141</v>
      </c>
      <c r="B8" s="72">
        <f>SUM('SGTO POAI 2024 ARMONIZADO'!AL35:AL38)</f>
        <v>4205542633.3499999</v>
      </c>
      <c r="C8" s="147">
        <f>SUM('SGTO POAI 2024 ARMONIZADO'!AM35:AM38)</f>
        <v>3394825402.29</v>
      </c>
      <c r="D8" s="145">
        <f t="shared" si="0"/>
        <v>0.80722648615400938</v>
      </c>
      <c r="E8" s="147">
        <f>SUM('SGTO POAI 2024 ARMONIZADO'!AN35:AN38)</f>
        <v>2659287438.9400001</v>
      </c>
      <c r="F8" s="145">
        <f t="shared" si="1"/>
        <v>0.63232920714007768</v>
      </c>
    </row>
    <row r="9" spans="1:7" ht="27.75" customHeight="1" x14ac:dyDescent="0.2">
      <c r="A9" s="76" t="s">
        <v>1144</v>
      </c>
      <c r="B9" s="77">
        <f>SUM('SGTO POAI 2024 ARMONIZADO'!AR35:AR38)</f>
        <v>539363640.04999995</v>
      </c>
      <c r="C9" s="149">
        <f>SUM('SGTO POAI 2024 ARMONIZADO'!AS35:AS38)</f>
        <v>475392733.31</v>
      </c>
      <c r="D9" s="145">
        <f t="shared" si="0"/>
        <v>0.88139558919086625</v>
      </c>
      <c r="E9" s="149">
        <f>SUM('SGTO POAI 2024 ARMONIZADO'!AT35:AT38)</f>
        <v>376534880</v>
      </c>
      <c r="F9" s="145">
        <f t="shared" si="1"/>
        <v>0.69810949800971855</v>
      </c>
    </row>
    <row r="10" spans="1:7" ht="27.75" customHeight="1" x14ac:dyDescent="0.2">
      <c r="A10" s="4" t="s">
        <v>1209</v>
      </c>
      <c r="B10" s="72">
        <f>SUM('SGTO POAI 2024 ARMONIZADO'!AO35:AO38)</f>
        <v>350000000</v>
      </c>
      <c r="C10" s="147">
        <f>SUM('SGTO POAI 2024 ARMONIZADO'!AP35:AP38)</f>
        <v>316629999.98000002</v>
      </c>
      <c r="D10" s="145">
        <f t="shared" si="0"/>
        <v>0.90465714280000009</v>
      </c>
      <c r="E10" s="147">
        <f>SUM('SGTO POAI 2024 ARMONIZADO'!AQ35:AQ38)</f>
        <v>132895666.66</v>
      </c>
      <c r="F10" s="145">
        <f t="shared" si="1"/>
        <v>0.37970190474285714</v>
      </c>
    </row>
    <row r="11" spans="1:7" ht="27.75" customHeight="1" x14ac:dyDescent="0.2">
      <c r="A11" s="78" t="s">
        <v>1145</v>
      </c>
      <c r="B11" s="70">
        <f>SUM(B12:B16)</f>
        <v>42528517537.059998</v>
      </c>
      <c r="C11" s="150">
        <f>SUM(C12:C16)</f>
        <v>22555338667.43</v>
      </c>
      <c r="D11" s="162">
        <f t="shared" si="0"/>
        <v>0.53035798033107862</v>
      </c>
      <c r="E11" s="150">
        <f>SUM(E12:E16)</f>
        <v>14183430408.349998</v>
      </c>
      <c r="F11" s="162">
        <f t="shared" si="1"/>
        <v>0.33350399284410376</v>
      </c>
    </row>
    <row r="12" spans="1:7" ht="27.75" customHeight="1" x14ac:dyDescent="0.2">
      <c r="A12" s="79" t="s">
        <v>1146</v>
      </c>
      <c r="B12" s="72">
        <f>SUM('SGTO POAI 2024 ARMONIZADO'!T39:T64)</f>
        <v>13432161813.970001</v>
      </c>
      <c r="C12" s="147">
        <f>SUM('SGTO POAI 2024 ARMONIZADO'!U39:U64)</f>
        <v>6360835433.75</v>
      </c>
      <c r="D12" s="145">
        <f t="shared" si="0"/>
        <v>0.47355262107805085</v>
      </c>
      <c r="E12" s="147">
        <f>SUM('SGTO POAI 2024 ARMONIZADO'!V39:V64)</f>
        <v>3657846544.46</v>
      </c>
      <c r="F12" s="145">
        <f t="shared" si="1"/>
        <v>0.27232001781393739</v>
      </c>
    </row>
    <row r="13" spans="1:7" ht="27.75" customHeight="1" x14ac:dyDescent="0.2">
      <c r="A13" s="79" t="s">
        <v>1147</v>
      </c>
      <c r="B13" s="72">
        <f>SUM('SGTO POAI 2024 ARMONIZADO'!AI39:AI64)</f>
        <v>4332250855.21</v>
      </c>
      <c r="C13" s="147">
        <f>SUM('SGTO POAI 2024 ARMONIZADO'!AJ39:AJ64)</f>
        <v>4279777194</v>
      </c>
      <c r="D13" s="145">
        <f t="shared" si="0"/>
        <v>0.98788766787433491</v>
      </c>
      <c r="E13" s="147">
        <f>SUM('SGTO POAI 2024 ARMONIZADO'!AK39:AK64)</f>
        <v>3943840322</v>
      </c>
      <c r="F13" s="145">
        <f t="shared" si="1"/>
        <v>0.91034440382350101</v>
      </c>
    </row>
    <row r="14" spans="1:7" ht="27.75" customHeight="1" x14ac:dyDescent="0.2">
      <c r="A14" s="71" t="s">
        <v>1141</v>
      </c>
      <c r="B14" s="72">
        <f>SUM('SGTO POAI 2024 ARMONIZADO'!AL39:AL64)</f>
        <v>10011857279.610001</v>
      </c>
      <c r="C14" s="147">
        <f>SUM('SGTO POAI 2024 ARMONIZADO'!AM39:AM64)</f>
        <v>7153536981.5100002</v>
      </c>
      <c r="D14" s="145">
        <f t="shared" si="0"/>
        <v>0.71450648783006399</v>
      </c>
      <c r="E14" s="147">
        <f>SUM('SGTO POAI 2024 ARMONIZADO'!AN39:AN64)</f>
        <v>5087520175.5099993</v>
      </c>
      <c r="F14" s="145">
        <f t="shared" si="1"/>
        <v>0.50814949049175595</v>
      </c>
    </row>
    <row r="15" spans="1:7" ht="27.75" customHeight="1" x14ac:dyDescent="0.2">
      <c r="A15" s="80" t="s">
        <v>1205</v>
      </c>
      <c r="B15" s="77">
        <f>SUM('SGTO POAI 2024 ARMONIZADO'!AO39:AO64)</f>
        <v>4626799336.8699999</v>
      </c>
      <c r="C15" s="149">
        <f>SUM('SGTO POAI 2024 ARMONIZADO'!AP39:AP64)</f>
        <v>2761856839.1700001</v>
      </c>
      <c r="D15" s="145">
        <f t="shared" si="0"/>
        <v>0.59692600393566642</v>
      </c>
      <c r="E15" s="149">
        <f>SUM('SGTO POAI 2024 ARMONIZADO'!AQ39:AQ64)</f>
        <v>1142794235.3800001</v>
      </c>
      <c r="F15" s="145">
        <f t="shared" si="1"/>
        <v>0.24699455329158343</v>
      </c>
    </row>
    <row r="16" spans="1:7" ht="27.75" customHeight="1" x14ac:dyDescent="0.2">
      <c r="A16" s="4" t="s">
        <v>1148</v>
      </c>
      <c r="B16" s="72">
        <f>SUM('SGTO POAI 2024 ARMONIZADO'!AR39:AR64)</f>
        <v>10125448251.4</v>
      </c>
      <c r="C16" s="147">
        <f>SUM('SGTO POAI 2024 ARMONIZADO'!AS39:AS64)</f>
        <v>1999332219</v>
      </c>
      <c r="D16" s="145">
        <f t="shared" si="0"/>
        <v>0.19745616878971867</v>
      </c>
      <c r="E16" s="147">
        <f>SUM('SGTO POAI 2024 ARMONIZADO'!AT39:AT64)</f>
        <v>351429131</v>
      </c>
      <c r="F16" s="145">
        <f t="shared" si="1"/>
        <v>3.4707513413187362E-2</v>
      </c>
    </row>
    <row r="17" spans="1:6" ht="27.75" customHeight="1" x14ac:dyDescent="0.2">
      <c r="A17" s="81" t="s">
        <v>1149</v>
      </c>
      <c r="B17" s="82">
        <f>SUM(B18:B19)</f>
        <v>13734254296.9</v>
      </c>
      <c r="C17" s="151">
        <f>SUM(C18:C19)</f>
        <v>4801894135</v>
      </c>
      <c r="D17" s="162">
        <f t="shared" si="0"/>
        <v>0.34962903927618771</v>
      </c>
      <c r="E17" s="151">
        <f>SUM(E18:E19)</f>
        <v>3413426874</v>
      </c>
      <c r="F17" s="162">
        <f t="shared" si="1"/>
        <v>0.24853383374228444</v>
      </c>
    </row>
    <row r="18" spans="1:6" ht="27.75" customHeight="1" x14ac:dyDescent="0.2">
      <c r="A18" s="75" t="s">
        <v>1141</v>
      </c>
      <c r="B18" s="83">
        <f>SUM('SGTO POAI 2024 ARMONIZADO'!AL65:AL105)</f>
        <v>3964804619.6399999</v>
      </c>
      <c r="C18" s="152">
        <f>SUM('SGTO POAI 2024 ARMONIZADO'!AM65:AM105)</f>
        <v>3489278745</v>
      </c>
      <c r="D18" s="145">
        <f t="shared" si="0"/>
        <v>0.88006322624715438</v>
      </c>
      <c r="E18" s="152">
        <f>SUM('SGTO POAI 2024 ARMONIZADO'!AN65:AN105)</f>
        <v>2952755981</v>
      </c>
      <c r="F18" s="145">
        <f t="shared" si="1"/>
        <v>0.74474186353932037</v>
      </c>
    </row>
    <row r="19" spans="1:6" ht="27.75" customHeight="1" x14ac:dyDescent="0.2">
      <c r="A19" s="79" t="s">
        <v>1206</v>
      </c>
      <c r="B19" s="72">
        <f>SUM('SGTO POAI 2024 ARMONIZADO'!AO65:AO105)</f>
        <v>9769449677.2600002</v>
      </c>
      <c r="C19" s="147">
        <f>SUM('SGTO POAI 2024 ARMONIZADO'!AP65:AP105)</f>
        <v>1312615390</v>
      </c>
      <c r="D19" s="145">
        <f t="shared" si="0"/>
        <v>0.13435919456705203</v>
      </c>
      <c r="E19" s="147">
        <f>SUM('SGTO POAI 2024 ARMONIZADO'!AQ65:AQ105)</f>
        <v>460670893</v>
      </c>
      <c r="F19" s="145">
        <f t="shared" si="1"/>
        <v>4.715423163213453E-2</v>
      </c>
    </row>
    <row r="20" spans="1:6" ht="27.75" customHeight="1" x14ac:dyDescent="0.2">
      <c r="A20" s="69" t="s">
        <v>1150</v>
      </c>
      <c r="B20" s="70">
        <f>SUM(B21:B23)</f>
        <v>6175637914.3900003</v>
      </c>
      <c r="C20" s="150">
        <f>SUM(C21:C23)</f>
        <v>4439294928.9000006</v>
      </c>
      <c r="D20" s="162">
        <f t="shared" si="0"/>
        <v>0.71883989807043158</v>
      </c>
      <c r="E20" s="150">
        <f>SUM(E21:E23)</f>
        <v>2860870876.0500002</v>
      </c>
      <c r="F20" s="162">
        <f t="shared" si="1"/>
        <v>0.46325107069244087</v>
      </c>
    </row>
    <row r="21" spans="1:6" ht="27.75" customHeight="1" x14ac:dyDescent="0.2">
      <c r="A21" s="79" t="s">
        <v>1151</v>
      </c>
      <c r="B21" s="72">
        <f>SUM('SGTO POAI 2024 ARMONIZADO'!T106:T131)</f>
        <v>3613883304.8900003</v>
      </c>
      <c r="C21" s="147">
        <f>SUM('SGTO POAI 2024 ARMONIZADO'!U106:U131)</f>
        <v>2673174329.8200002</v>
      </c>
      <c r="D21" s="145">
        <f t="shared" si="0"/>
        <v>0.73969580761030318</v>
      </c>
      <c r="E21" s="147">
        <f>SUM('SGTO POAI 2024 ARMONIZADO'!V106:V131)</f>
        <v>1828456166.9000001</v>
      </c>
      <c r="F21" s="145">
        <f t="shared" si="1"/>
        <v>0.50595329528927746</v>
      </c>
    </row>
    <row r="22" spans="1:6" ht="27.75" customHeight="1" x14ac:dyDescent="0.2">
      <c r="A22" s="71" t="s">
        <v>1141</v>
      </c>
      <c r="B22" s="72">
        <f>SUM('SGTO POAI 2024 ARMONIZADO'!AL106:AL131)</f>
        <v>2150593784.1999998</v>
      </c>
      <c r="C22" s="147">
        <f>SUM('SGTO POAI 2024 ARMONIZADO'!AM106:AM131)</f>
        <v>1544338935.75</v>
      </c>
      <c r="D22" s="145">
        <f t="shared" si="0"/>
        <v>0.7180988558118051</v>
      </c>
      <c r="E22" s="147">
        <f>SUM('SGTO POAI 2024 ARMONIZADO'!AN106:AN131)</f>
        <v>945114709.14999998</v>
      </c>
      <c r="F22" s="145">
        <f t="shared" si="1"/>
        <v>0.43946686542738872</v>
      </c>
    </row>
    <row r="23" spans="1:6" ht="27.75" customHeight="1" x14ac:dyDescent="0.2">
      <c r="A23" s="79" t="s">
        <v>1207</v>
      </c>
      <c r="B23" s="72">
        <f>SUM('SGTO POAI 2024 ARMONIZADO'!AO106:AO131)</f>
        <v>411160825.30000001</v>
      </c>
      <c r="C23" s="147">
        <f>SUM('SGTO POAI 2024 ARMONIZADO'!AP106:AP131)</f>
        <v>221781663.32999998</v>
      </c>
      <c r="D23" s="145">
        <f t="shared" si="0"/>
        <v>0.53940368265429683</v>
      </c>
      <c r="E23" s="147">
        <f>SUM('SGTO POAI 2024 ARMONIZADO'!AQ106:AQ131)</f>
        <v>87300000</v>
      </c>
      <c r="F23" s="145">
        <f t="shared" si="1"/>
        <v>0.21232567557062931</v>
      </c>
    </row>
    <row r="24" spans="1:6" ht="27.75" customHeight="1" x14ac:dyDescent="0.2">
      <c r="A24" s="84" t="s">
        <v>1152</v>
      </c>
      <c r="B24" s="70">
        <f>SUM(B25:B26)</f>
        <v>8607618879.0200005</v>
      </c>
      <c r="C24" s="150">
        <f>SUM(C25:C26)</f>
        <v>7915520249</v>
      </c>
      <c r="D24" s="162">
        <f t="shared" si="0"/>
        <v>0.91959464751548137</v>
      </c>
      <c r="E24" s="150">
        <f>SUM(E25:E26)</f>
        <v>7504767261.6700001</v>
      </c>
      <c r="F24" s="162">
        <f t="shared" si="1"/>
        <v>0.87187494789783693</v>
      </c>
    </row>
    <row r="25" spans="1:6" ht="27.75" customHeight="1" x14ac:dyDescent="0.2">
      <c r="A25" s="71" t="s">
        <v>1141</v>
      </c>
      <c r="B25" s="72">
        <f>SUM('SGTO POAI 2024 ARMONIZADO'!AL132:AL150)</f>
        <v>5393133951.4499998</v>
      </c>
      <c r="C25" s="147">
        <f>SUM('SGTO POAI 2024 ARMONIZADO'!AM132:AM150)</f>
        <v>5002324973</v>
      </c>
      <c r="D25" s="145">
        <f t="shared" si="0"/>
        <v>0.92753582945127355</v>
      </c>
      <c r="E25" s="147">
        <f>SUM('SGTO POAI 2024 ARMONIZADO'!AN132:AN150)</f>
        <v>4765245414.6700001</v>
      </c>
      <c r="F25" s="145">
        <f t="shared" si="1"/>
        <v>0.88357631343252929</v>
      </c>
    </row>
    <row r="26" spans="1:6" ht="27.75" customHeight="1" x14ac:dyDescent="0.2">
      <c r="A26" s="79" t="s">
        <v>1208</v>
      </c>
      <c r="B26" s="72">
        <f>SUM('SGTO POAI 2024 ARMONIZADO'!AO132:AO150)</f>
        <v>3214484927.5700002</v>
      </c>
      <c r="C26" s="147">
        <f>SUM('SGTO POAI 2024 ARMONIZADO'!AP132:AP150)</f>
        <v>2913195276</v>
      </c>
      <c r="D26" s="145">
        <f t="shared" si="0"/>
        <v>0.90627125080416504</v>
      </c>
      <c r="E26" s="147">
        <f>SUM('SGTO POAI 2024 ARMONIZADO'!AQ132:AQ150)</f>
        <v>2739521847</v>
      </c>
      <c r="F26" s="145">
        <f t="shared" si="1"/>
        <v>0.85224286587990006</v>
      </c>
    </row>
    <row r="27" spans="1:6" ht="27.75" customHeight="1" x14ac:dyDescent="0.2">
      <c r="A27" s="84" t="s">
        <v>1153</v>
      </c>
      <c r="B27" s="85">
        <f>B28+B29</f>
        <v>6616140695.3199997</v>
      </c>
      <c r="C27" s="153">
        <f>C28+C29</f>
        <v>3212211064.9499998</v>
      </c>
      <c r="D27" s="162">
        <f t="shared" si="0"/>
        <v>0.48551129924159453</v>
      </c>
      <c r="E27" s="153">
        <f>E28+E29</f>
        <v>2498803659</v>
      </c>
      <c r="F27" s="162">
        <f t="shared" si="1"/>
        <v>0.37768296867803258</v>
      </c>
    </row>
    <row r="28" spans="1:6" ht="27.75" customHeight="1" x14ac:dyDescent="0.2">
      <c r="A28" s="75" t="s">
        <v>1141</v>
      </c>
      <c r="B28" s="72">
        <f>SUM('SGTO POAI 2024 ARMONIZADO'!AL151:AL215)</f>
        <v>6416140695.3199997</v>
      </c>
      <c r="C28" s="147">
        <f>SUM('SGTO POAI 2024 ARMONIZADO'!AM151:AM215)</f>
        <v>3212211064.9499998</v>
      </c>
      <c r="D28" s="145">
        <f t="shared" si="0"/>
        <v>0.50064535949048317</v>
      </c>
      <c r="E28" s="147">
        <f>SUM('SGTO POAI 2024 ARMONIZADO'!AN151:AN215)</f>
        <v>2498803659</v>
      </c>
      <c r="F28" s="145">
        <f t="shared" si="1"/>
        <v>0.38945587038367996</v>
      </c>
    </row>
    <row r="29" spans="1:6" s="142" customFormat="1" ht="27.75" customHeight="1" x14ac:dyDescent="0.25">
      <c r="A29" s="140" t="s">
        <v>1209</v>
      </c>
      <c r="B29" s="141">
        <f>SUM('SGTO POAI 2024 ARMONIZADO'!AO151:AO215)</f>
        <v>200000000</v>
      </c>
      <c r="C29" s="154">
        <f>SUM('SGTO POAI 2024 ARMONIZADO'!AP151:AP215)</f>
        <v>0</v>
      </c>
      <c r="D29" s="163">
        <f t="shared" si="0"/>
        <v>0</v>
      </c>
      <c r="E29" s="154">
        <f>SUM('SGTO POAI 2024 ARMONIZADO'!AQ151:AQ215)</f>
        <v>0</v>
      </c>
      <c r="F29" s="163">
        <f t="shared" si="1"/>
        <v>0</v>
      </c>
    </row>
    <row r="30" spans="1:6" ht="27.75" customHeight="1" x14ac:dyDescent="0.2">
      <c r="A30" s="86" t="s">
        <v>1154</v>
      </c>
      <c r="B30" s="87">
        <f>SUM(B31:B32)</f>
        <v>2091395027.28</v>
      </c>
      <c r="C30" s="155">
        <f>SUM(C31:C32)</f>
        <v>2014331638</v>
      </c>
      <c r="D30" s="162">
        <f t="shared" si="0"/>
        <v>0.96315216002964965</v>
      </c>
      <c r="E30" s="155">
        <f>SUM(E31:E32)</f>
        <v>1360563139</v>
      </c>
      <c r="F30" s="162">
        <f t="shared" si="1"/>
        <v>0.65055291862747899</v>
      </c>
    </row>
    <row r="31" spans="1:6" ht="27.75" customHeight="1" x14ac:dyDescent="0.2">
      <c r="A31" s="88" t="s">
        <v>1141</v>
      </c>
      <c r="B31" s="77">
        <f>SUM('SGTO POAI 2024 ARMONIZADO'!AL216:AL221)</f>
        <v>1403002887.28</v>
      </c>
      <c r="C31" s="149">
        <f>SUM('SGTO POAI 2024 ARMONIZADO'!AM216:AM221)</f>
        <v>1332344998</v>
      </c>
      <c r="D31" s="145">
        <f t="shared" si="0"/>
        <v>0.94963810130356585</v>
      </c>
      <c r="E31" s="149">
        <f>SUM('SGTO POAI 2024 ARMONIZADO'!AN216:AN221)</f>
        <v>678576499</v>
      </c>
      <c r="F31" s="145">
        <f t="shared" si="1"/>
        <v>0.48366008733991661</v>
      </c>
    </row>
    <row r="32" spans="1:6" s="142" customFormat="1" ht="27.75" customHeight="1" x14ac:dyDescent="0.25">
      <c r="A32" s="4" t="s">
        <v>1209</v>
      </c>
      <c r="B32" s="141">
        <f>SUM('SGTO POAI 2024 ARMONIZADO'!AO216:AO221)</f>
        <v>688392140</v>
      </c>
      <c r="C32" s="154">
        <f>SUM('SGTO POAI 2024 ARMONIZADO'!AP216:AP221)</f>
        <v>681986640</v>
      </c>
      <c r="D32" s="163">
        <f t="shared" si="0"/>
        <v>0.9906949838212854</v>
      </c>
      <c r="E32" s="154">
        <f>SUM('SGTO POAI 2024 ARMONIZADO'!AQ216:AQ221)</f>
        <v>681986640</v>
      </c>
      <c r="F32" s="163">
        <f t="shared" si="1"/>
        <v>0.9906949838212854</v>
      </c>
    </row>
    <row r="33" spans="1:6" ht="27.75" customHeight="1" x14ac:dyDescent="0.2">
      <c r="A33" s="86" t="s">
        <v>1140</v>
      </c>
      <c r="B33" s="87">
        <f>SUM(B34:B38)</f>
        <v>276340724380.24994</v>
      </c>
      <c r="C33" s="155">
        <f>SUM(C34:C38)</f>
        <v>206228135560.27002</v>
      </c>
      <c r="D33" s="162">
        <f t="shared" si="0"/>
        <v>0.74628209802510437</v>
      </c>
      <c r="E33" s="155">
        <f>SUM(E34:E38)</f>
        <v>200014001209.20999</v>
      </c>
      <c r="F33" s="162">
        <f t="shared" si="1"/>
        <v>0.72379487915790153</v>
      </c>
    </row>
    <row r="34" spans="1:6" ht="27.75" customHeight="1" x14ac:dyDescent="0.2">
      <c r="A34" s="79" t="s">
        <v>1155</v>
      </c>
      <c r="B34" s="89">
        <f>SUM('SGTO POAI 2024 ARMONIZADO'!W222:W250)</f>
        <v>5823150206.1099997</v>
      </c>
      <c r="C34" s="156">
        <f>SUM('SGTO POAI 2024 ARMONIZADO'!X222:X250)</f>
        <v>5823150206.1099997</v>
      </c>
      <c r="D34" s="145">
        <f t="shared" si="0"/>
        <v>1</v>
      </c>
      <c r="E34" s="156">
        <f>SUM('SGTO POAI 2024 ARMONIZADO'!Y222:Y250)</f>
        <v>4527407951.7399998</v>
      </c>
      <c r="F34" s="145">
        <f t="shared" si="1"/>
        <v>0.77748431544657237</v>
      </c>
    </row>
    <row r="35" spans="1:6" ht="27.75" customHeight="1" x14ac:dyDescent="0.2">
      <c r="A35" s="79" t="s">
        <v>1156</v>
      </c>
      <c r="B35" s="72">
        <f>SUM('SGTO POAI 2024 ARMONIZADO'!AF222:AF250)</f>
        <v>240863046894.49997</v>
      </c>
      <c r="C35" s="147">
        <f>SUM('SGTO POAI 2024 ARMONIZADO'!AG222:AG250)</f>
        <v>171309073490.17001</v>
      </c>
      <c r="D35" s="145">
        <f t="shared" si="0"/>
        <v>0.71123020197118414</v>
      </c>
      <c r="E35" s="147">
        <f>SUM('SGTO POAI 2024 ARMONIZADO'!AH222:AH250)</f>
        <v>169996299649.38</v>
      </c>
      <c r="F35" s="145">
        <f t="shared" si="1"/>
        <v>0.70577991037305032</v>
      </c>
    </row>
    <row r="36" spans="1:6" ht="27.75" customHeight="1" x14ac:dyDescent="0.2">
      <c r="A36" s="90" t="s">
        <v>1141</v>
      </c>
      <c r="B36" s="91">
        <f>SUM('SGTO POAI 2024 ARMONIZADO'!AL222:AL250)</f>
        <v>10231074380.6</v>
      </c>
      <c r="C36" s="157">
        <f>SUM('SGTO POAI 2024 ARMONIZADO'!AM222:AM250)</f>
        <v>9931187563.9099998</v>
      </c>
      <c r="D36" s="145">
        <f t="shared" si="0"/>
        <v>0.97068862902036557</v>
      </c>
      <c r="E36" s="157">
        <f>SUM('SGTO POAI 2024 ARMONIZADO'!AN222:AN250)</f>
        <v>8677211751.0100002</v>
      </c>
      <c r="F36" s="145">
        <f t="shared" si="1"/>
        <v>0.84812322032020315</v>
      </c>
    </row>
    <row r="37" spans="1:6" ht="27.75" customHeight="1" x14ac:dyDescent="0.2">
      <c r="A37" s="92" t="s">
        <v>1157</v>
      </c>
      <c r="B37" s="93">
        <f>SUM('SGTO POAI 2024 ARMONIZADO'!AR222:AR250)</f>
        <v>19311845039.040001</v>
      </c>
      <c r="C37" s="158">
        <f>SUM('SGTO POAI 2024 ARMONIZADO'!AS222:AS250)</f>
        <v>19164724300.080002</v>
      </c>
      <c r="D37" s="145">
        <f t="shared" si="0"/>
        <v>0.99238183929797563</v>
      </c>
      <c r="E37" s="158">
        <f>SUM('SGTO POAI 2024 ARMONIZADO'!AT222:AT250)</f>
        <v>16813081857.08</v>
      </c>
      <c r="F37" s="145">
        <f t="shared" si="1"/>
        <v>0.87060981605286247</v>
      </c>
    </row>
    <row r="38" spans="1:6" ht="27.75" customHeight="1" x14ac:dyDescent="0.2">
      <c r="A38" s="92" t="s">
        <v>1254</v>
      </c>
      <c r="B38" s="93">
        <f>SUM('SGTO POAI 2024 ARMONIZADO'!AO222:AO250)</f>
        <v>111607860</v>
      </c>
      <c r="C38" s="158">
        <f>SUM('SGTO POAI 2024 ARMONIZADO'!AP222:AP250)</f>
        <v>0</v>
      </c>
      <c r="D38" s="145">
        <f t="shared" si="0"/>
        <v>0</v>
      </c>
      <c r="E38" s="158">
        <f>SUM('SGTO POAI 2024 ARMONIZADO'!AQ222:AQ250)</f>
        <v>0</v>
      </c>
      <c r="F38" s="145">
        <f t="shared" si="1"/>
        <v>0</v>
      </c>
    </row>
    <row r="39" spans="1:6" ht="27.75" customHeight="1" x14ac:dyDescent="0.2">
      <c r="A39" s="86" t="s">
        <v>1134</v>
      </c>
      <c r="B39" s="87">
        <f>SUM(B40:B42)</f>
        <v>12041207464.6</v>
      </c>
      <c r="C39" s="155">
        <f>SUM(C40:C42)</f>
        <v>10060741494.189999</v>
      </c>
      <c r="D39" s="162">
        <f t="shared" si="0"/>
        <v>0.83552596562824932</v>
      </c>
      <c r="E39" s="155">
        <f>SUM(E40:E42)</f>
        <v>9561385867.4799995</v>
      </c>
      <c r="F39" s="162">
        <f t="shared" si="1"/>
        <v>0.79405540479138492</v>
      </c>
    </row>
    <row r="40" spans="1:6" ht="27.75" customHeight="1" x14ac:dyDescent="0.2">
      <c r="A40" s="79" t="s">
        <v>1158</v>
      </c>
      <c r="B40" s="72">
        <f>SUM('SGTO POAI 2024 ARMONIZADO'!T251:T304)</f>
        <v>7749432426.1999998</v>
      </c>
      <c r="C40" s="147">
        <f>SUM('SGTO POAI 2024 ARMONIZADO'!U251:U304)</f>
        <v>7091364266.1899996</v>
      </c>
      <c r="D40" s="145">
        <f t="shared" si="0"/>
        <v>0.91508176033832589</v>
      </c>
      <c r="E40" s="147">
        <f>SUM('SGTO POAI 2024 ARMONIZADO'!V251:V304)</f>
        <v>7091364266.1899996</v>
      </c>
      <c r="F40" s="145">
        <f t="shared" si="1"/>
        <v>0.91508176033832589</v>
      </c>
    </row>
    <row r="41" spans="1:6" ht="27.75" customHeight="1" x14ac:dyDescent="0.2">
      <c r="A41" s="88" t="s">
        <v>1141</v>
      </c>
      <c r="B41" s="72">
        <f>SUM('SGTO POAI 2024 ARMONIZADO'!AL251:AL304)</f>
        <v>4091775038.4000001</v>
      </c>
      <c r="C41" s="147">
        <f>SUM('SGTO POAI 2024 ARMONIZADO'!AM251:AM304)</f>
        <v>2969377228</v>
      </c>
      <c r="D41" s="145">
        <f t="shared" si="0"/>
        <v>0.72569415476983568</v>
      </c>
      <c r="E41" s="147">
        <f>SUM('SGTO POAI 2024 ARMONIZADO'!AN251:AN304)</f>
        <v>2470021601.29</v>
      </c>
      <c r="F41" s="145">
        <f t="shared" si="1"/>
        <v>0.60365527872613656</v>
      </c>
    </row>
    <row r="42" spans="1:6" s="142" customFormat="1" ht="27.75" customHeight="1" x14ac:dyDescent="0.25">
      <c r="A42" s="92" t="s">
        <v>1254</v>
      </c>
      <c r="B42" s="141">
        <f>SUM('SGTO POAI 2024 ARMONIZADO'!AO251:AO304)</f>
        <v>200000000</v>
      </c>
      <c r="C42" s="154">
        <f>SUM('SGTO POAI 2024 ARMONIZADO'!AP251:AP304)</f>
        <v>0</v>
      </c>
      <c r="D42" s="163">
        <f t="shared" si="0"/>
        <v>0</v>
      </c>
      <c r="E42" s="154">
        <f>SUM('SGTO POAI 2024 ARMONIZADO'!AQ251:AQ304)</f>
        <v>0</v>
      </c>
      <c r="F42" s="163">
        <f t="shared" si="1"/>
        <v>0</v>
      </c>
    </row>
    <row r="43" spans="1:6" ht="27.75" customHeight="1" x14ac:dyDescent="0.2">
      <c r="A43" s="86" t="s">
        <v>1159</v>
      </c>
      <c r="B43" s="87">
        <f>SUM(B44:B49)</f>
        <v>77717604758.01001</v>
      </c>
      <c r="C43" s="155">
        <f>SUM(C44:C49)</f>
        <v>61611547267.029999</v>
      </c>
      <c r="D43" s="162">
        <f t="shared" si="0"/>
        <v>0.79276178748522186</v>
      </c>
      <c r="E43" s="155">
        <f>SUM(E44:E49)</f>
        <v>47687698577.729988</v>
      </c>
      <c r="F43" s="162">
        <f t="shared" si="1"/>
        <v>0.61360226844632682</v>
      </c>
    </row>
    <row r="44" spans="1:6" ht="27.75" customHeight="1" x14ac:dyDescent="0.2">
      <c r="A44" s="79" t="s">
        <v>1155</v>
      </c>
      <c r="B44" s="72">
        <f>SUM('SGTO POAI 2024 ARMONIZADO'!W305:W434)</f>
        <v>650000000</v>
      </c>
      <c r="C44" s="147">
        <f>SUM('SGTO POAI 2024 ARMONIZADO'!X305:X434)</f>
        <v>596248680</v>
      </c>
      <c r="D44" s="145">
        <f t="shared" si="0"/>
        <v>0.91730566153846149</v>
      </c>
      <c r="E44" s="147">
        <f>SUM('SGTO POAI 2024 ARMONIZADO'!Y305:Y434)</f>
        <v>568148681</v>
      </c>
      <c r="F44" s="145">
        <f t="shared" si="1"/>
        <v>0.87407489384615389</v>
      </c>
    </row>
    <row r="45" spans="1:6" ht="27.75" customHeight="1" x14ac:dyDescent="0.2">
      <c r="A45" s="79" t="s">
        <v>1160</v>
      </c>
      <c r="B45" s="72">
        <f>SUM('SGTO POAI 2024 ARMONIZADO'!Z305:Z434)</f>
        <v>9501451757.3700008</v>
      </c>
      <c r="C45" s="147">
        <f>SUM('SGTO POAI 2024 ARMONIZADO'!AA305:AA434)</f>
        <v>7618511341.6400003</v>
      </c>
      <c r="D45" s="145">
        <f t="shared" si="0"/>
        <v>0.80182602997805486</v>
      </c>
      <c r="E45" s="147">
        <f>SUM('SGTO POAI 2024 ARMONIZADO'!AB305:AB434)</f>
        <v>4689721504.5299997</v>
      </c>
      <c r="F45" s="145">
        <f t="shared" si="1"/>
        <v>0.4935794680946855</v>
      </c>
    </row>
    <row r="46" spans="1:6" ht="27.75" customHeight="1" x14ac:dyDescent="0.2">
      <c r="A46" s="79" t="s">
        <v>1161</v>
      </c>
      <c r="B46" s="72">
        <f>SUM('SGTO POAI 2024 ARMONIZADO'!AC305:AC434)</f>
        <v>51370928467.990005</v>
      </c>
      <c r="C46" s="147">
        <f>SUM('SGTO POAI 2024 ARMONIZADO'!AD305:AD434)</f>
        <v>43994878214</v>
      </c>
      <c r="D46" s="145">
        <f t="shared" si="0"/>
        <v>0.85641586644504331</v>
      </c>
      <c r="E46" s="147">
        <f>SUM('SGTO POAI 2024 ARMONIZADO'!AE305:AE434)</f>
        <v>35211886151.80999</v>
      </c>
      <c r="F46" s="145">
        <f t="shared" si="1"/>
        <v>0.68544383373859097</v>
      </c>
    </row>
    <row r="47" spans="1:6" ht="27.75" customHeight="1" x14ac:dyDescent="0.2">
      <c r="A47" s="79" t="s">
        <v>1141</v>
      </c>
      <c r="B47" s="72">
        <f>SUM('SGTO POAI 2024 ARMONIZADO'!AL305:AL434)</f>
        <v>4838831160.4499998</v>
      </c>
      <c r="C47" s="147">
        <f>SUM('SGTO POAI 2024 ARMONIZADO'!AM305:AM434)</f>
        <v>4358355857.3899994</v>
      </c>
      <c r="D47" s="145">
        <f t="shared" si="0"/>
        <v>0.90070426366864242</v>
      </c>
      <c r="E47" s="147">
        <f>SUM('SGTO POAI 2024 ARMONIZADO'!AN305:AN434)</f>
        <v>4087301458.3899999</v>
      </c>
      <c r="F47" s="145">
        <f t="shared" si="1"/>
        <v>0.84468776091990994</v>
      </c>
    </row>
    <row r="48" spans="1:6" ht="27.75" customHeight="1" x14ac:dyDescent="0.2">
      <c r="A48" s="79" t="s">
        <v>1162</v>
      </c>
      <c r="B48" s="72">
        <f>SUM('SGTO POAI 2024 ARMONIZADO'!AO305:AO434)</f>
        <v>1048899508.2</v>
      </c>
      <c r="C48" s="147">
        <f>SUM('SGTO POAI 2024 ARMONIZADO'!AP305:AP434)</f>
        <v>542102525</v>
      </c>
      <c r="D48" s="145">
        <f t="shared" si="0"/>
        <v>0.51682980186566552</v>
      </c>
      <c r="E48" s="147">
        <f>SUM('SGTO POAI 2024 ARMONIZADO'!AQ305:AQ434)</f>
        <v>509903392</v>
      </c>
      <c r="F48" s="145">
        <f t="shared" si="1"/>
        <v>0.48613178670951729</v>
      </c>
    </row>
    <row r="49" spans="1:6" ht="27.75" customHeight="1" x14ac:dyDescent="0.2">
      <c r="A49" s="79" t="s">
        <v>1163</v>
      </c>
      <c r="B49" s="72">
        <f>SUM('SGTO POAI 2024 ARMONIZADO'!AR305:AR434)</f>
        <v>10307493864</v>
      </c>
      <c r="C49" s="147">
        <f>SUM('SGTO POAI 2024 ARMONIZADO'!AS305:AS434)</f>
        <v>4501450649</v>
      </c>
      <c r="D49" s="145">
        <f t="shared" si="0"/>
        <v>0.4367163064459138</v>
      </c>
      <c r="E49" s="147">
        <f>SUM('SGTO POAI 2024 ARMONIZADO'!AT305:AT434)</f>
        <v>2620737390</v>
      </c>
      <c r="F49" s="145">
        <f t="shared" si="1"/>
        <v>0.25425553724103578</v>
      </c>
    </row>
    <row r="50" spans="1:6" ht="27.75" customHeight="1" x14ac:dyDescent="0.2">
      <c r="A50" s="94" t="s">
        <v>1164</v>
      </c>
      <c r="B50" s="70">
        <f>SUM(B51:B52)</f>
        <v>22283486868.779999</v>
      </c>
      <c r="C50" s="150">
        <f>SUM(C51:C52)</f>
        <v>1223924319</v>
      </c>
      <c r="D50" s="162">
        <f t="shared" si="0"/>
        <v>5.4925170652478268E-2</v>
      </c>
      <c r="E50" s="150">
        <f>SUM(E51:E52)</f>
        <v>974718332</v>
      </c>
      <c r="F50" s="162">
        <f t="shared" si="1"/>
        <v>4.3741732958571082E-2</v>
      </c>
    </row>
    <row r="51" spans="1:6" ht="27.75" customHeight="1" x14ac:dyDescent="0.2">
      <c r="A51" s="4" t="s">
        <v>1141</v>
      </c>
      <c r="B51" s="72">
        <f>SUM('SGTO POAI 2024 ARMONIZADO'!AL435:AL457)</f>
        <v>2284521994.7799997</v>
      </c>
      <c r="C51" s="147">
        <f>SUM('SGTO POAI 2024 ARMONIZADO'!AM435:AM457)</f>
        <v>1223924319</v>
      </c>
      <c r="D51" s="145">
        <f t="shared" si="0"/>
        <v>0.53574634947555599</v>
      </c>
      <c r="E51" s="147">
        <f>SUM('SGTO POAI 2024 ARMONIZADO'!AN435:AN457)</f>
        <v>974718332</v>
      </c>
      <c r="F51" s="145">
        <f t="shared" si="1"/>
        <v>0.42666182870078506</v>
      </c>
    </row>
    <row r="52" spans="1:6" ht="27.75" customHeight="1" x14ac:dyDescent="0.2">
      <c r="A52" s="4" t="s">
        <v>1255</v>
      </c>
      <c r="B52" s="72">
        <f>'SGTO POAI 2024 ARMONIZADO'!AR438</f>
        <v>19998964874</v>
      </c>
      <c r="C52" s="147">
        <f>'SGTO POAI 2024 ARMONIZADO'!AS438</f>
        <v>0</v>
      </c>
      <c r="D52" s="145">
        <f t="shared" si="0"/>
        <v>0</v>
      </c>
      <c r="E52" s="147">
        <f>'SGTO POAI 2024 ARMONIZADO'!AT438</f>
        <v>0</v>
      </c>
      <c r="F52" s="145">
        <f t="shared" si="1"/>
        <v>0</v>
      </c>
    </row>
    <row r="53" spans="1:6" ht="27.75" customHeight="1" x14ac:dyDescent="0.2">
      <c r="A53" s="95" t="s">
        <v>1165</v>
      </c>
      <c r="B53" s="96">
        <f>B3+B5+B7+B11+B17+B20+B24+B27+B30+B33+B39+B43+B50</f>
        <v>475410619011.22998</v>
      </c>
      <c r="C53" s="159">
        <f>C3+C5+C7+C11+C17+C20+C24+C27+C30+C33+C39+C43+C50</f>
        <v>330363360985.34998</v>
      </c>
      <c r="D53" s="164">
        <f t="shared" si="0"/>
        <v>0.69490109764995855</v>
      </c>
      <c r="E53" s="159">
        <f>E3+E5+E7+E11+E17+E20+E24+E27+E30+E33+E39+E43+E50</f>
        <v>294612002646.09003</v>
      </c>
      <c r="F53" s="164">
        <f t="shared" si="1"/>
        <v>0.61970008843898128</v>
      </c>
    </row>
    <row r="54" spans="1:6" x14ac:dyDescent="0.2">
      <c r="A54" s="2"/>
      <c r="B54" s="2"/>
      <c r="C54" s="2"/>
      <c r="D54" s="2"/>
      <c r="E54" s="2"/>
      <c r="F54" s="2"/>
    </row>
    <row r="55" spans="1:6" ht="21" customHeight="1" x14ac:dyDescent="0.2">
      <c r="A55" s="69" t="s">
        <v>1166</v>
      </c>
      <c r="B55" s="70">
        <f>SUM(B56:B59)</f>
        <v>11388477582.379999</v>
      </c>
      <c r="C55" s="150">
        <f>SUM(C56:C59)</f>
        <v>8123559084.0699997</v>
      </c>
      <c r="D55" s="162">
        <f t="shared" si="0"/>
        <v>0.71331387582819594</v>
      </c>
      <c r="E55" s="150">
        <f>SUM(E56:E59)</f>
        <v>6834941162.6000004</v>
      </c>
      <c r="F55" s="162">
        <f t="shared" si="1"/>
        <v>0.60016284996467573</v>
      </c>
    </row>
    <row r="56" spans="1:6" ht="29.25" customHeight="1" x14ac:dyDescent="0.2">
      <c r="A56" s="97" t="s">
        <v>1167</v>
      </c>
      <c r="B56" s="72">
        <f>SUM('SGTO POAI 2024 ARMONIZADO'!T458:T468)</f>
        <v>7291786506.3799992</v>
      </c>
      <c r="C56" s="147">
        <f>SUM('SGTO POAI 2024 ARMONIZADO'!U458:U468)</f>
        <v>5292818159.4200001</v>
      </c>
      <c r="D56" s="145">
        <f t="shared" si="0"/>
        <v>0.72586027509020079</v>
      </c>
      <c r="E56" s="147">
        <f>SUM('SGTO POAI 2024 ARMONIZADO'!V458:V468)</f>
        <v>4372132541.1300001</v>
      </c>
      <c r="F56" s="145">
        <f t="shared" si="1"/>
        <v>0.59959689402652872</v>
      </c>
    </row>
    <row r="57" spans="1:6" ht="29.25" customHeight="1" x14ac:dyDescent="0.2">
      <c r="A57" s="97" t="s">
        <v>1168</v>
      </c>
      <c r="B57" s="72">
        <f>SUM('SGTO POAI 2024 ARMONIZADO'!W458:W468)</f>
        <v>1541886455.8299999</v>
      </c>
      <c r="C57" s="147">
        <f>SUM('SGTO POAI 2024 ARMONIZADO'!X458:X468)</f>
        <v>1116420917.3099999</v>
      </c>
      <c r="D57" s="145">
        <f t="shared" si="0"/>
        <v>0.72406169279762489</v>
      </c>
      <c r="E57" s="147">
        <f>SUM('SGTO POAI 2024 ARMONIZADO'!Y458:Y468)</f>
        <v>919315140.6400001</v>
      </c>
      <c r="F57" s="145">
        <f t="shared" si="1"/>
        <v>0.59622752191900619</v>
      </c>
    </row>
    <row r="58" spans="1:6" ht="29.25" customHeight="1" x14ac:dyDescent="0.2">
      <c r="A58" s="97" t="s">
        <v>1161</v>
      </c>
      <c r="B58" s="72">
        <f>SUM('SGTO POAI 2024 ARMONIZADO'!AC458:AC468)</f>
        <v>1546111404.6600001</v>
      </c>
      <c r="C58" s="147">
        <f>SUM('SGTO POAI 2024 ARMONIZADO'!AD458:AD468)</f>
        <v>1019248299.0399998</v>
      </c>
      <c r="D58" s="145">
        <f t="shared" si="0"/>
        <v>0.65923341356125575</v>
      </c>
      <c r="E58" s="147">
        <f>SUM('SGTO POAI 2024 ARMONIZADO'!AE458:AE468)</f>
        <v>1003401632.04</v>
      </c>
      <c r="F58" s="145">
        <f t="shared" si="1"/>
        <v>0.64898404410945698</v>
      </c>
    </row>
    <row r="59" spans="1:6" ht="29.25" customHeight="1" x14ac:dyDescent="0.2">
      <c r="A59" s="97" t="s">
        <v>1169</v>
      </c>
      <c r="B59" s="72">
        <f>SUM('SGTO POAI 2024 ARMONIZADO'!AL458:AL468)</f>
        <v>1008693215.51</v>
      </c>
      <c r="C59" s="147">
        <f>SUM('SGTO POAI 2024 ARMONIZADO'!AM458:AM468)</f>
        <v>695071708.29999995</v>
      </c>
      <c r="D59" s="145">
        <f t="shared" si="0"/>
        <v>0.68908137539972292</v>
      </c>
      <c r="E59" s="147">
        <f>SUM('SGTO POAI 2024 ARMONIZADO'!AN458:AN468)</f>
        <v>540091848.78999996</v>
      </c>
      <c r="F59" s="145">
        <f t="shared" si="1"/>
        <v>0.53543717800949719</v>
      </c>
    </row>
    <row r="60" spans="1:6" ht="39" customHeight="1" x14ac:dyDescent="0.2">
      <c r="A60" s="94" t="s">
        <v>1137</v>
      </c>
      <c r="B60" s="70">
        <f>SUM(B61:B62)</f>
        <v>7587582384.75</v>
      </c>
      <c r="C60" s="150">
        <f>SUM(C61:C62)</f>
        <v>4776476950.0799999</v>
      </c>
      <c r="D60" s="162">
        <f t="shared" si="0"/>
        <v>0.62951236742813677</v>
      </c>
      <c r="E60" s="150">
        <f>SUM(E61:E62)</f>
        <v>2314433625.4000001</v>
      </c>
      <c r="F60" s="162">
        <f t="shared" si="1"/>
        <v>0.3050291262802885</v>
      </c>
    </row>
    <row r="61" spans="1:6" ht="32.25" customHeight="1" x14ac:dyDescent="0.2">
      <c r="A61" s="79" t="s">
        <v>1170</v>
      </c>
      <c r="B61" s="72">
        <f>SUM('SGTO POAI 2024 ARMONIZADO'!T469:T489)</f>
        <v>5933815704.7299995</v>
      </c>
      <c r="C61" s="147">
        <f>SUM('SGTO POAI 2024 ARMONIZADO'!U469:U489)</f>
        <v>3643923902.5599999</v>
      </c>
      <c r="D61" s="145">
        <f t="shared" si="0"/>
        <v>0.61409455296283177</v>
      </c>
      <c r="E61" s="147">
        <f>SUM('SGTO POAI 2024 ARMONIZADO'!V469:V489)</f>
        <v>1893361425.4000001</v>
      </c>
      <c r="F61" s="145">
        <f t="shared" si="1"/>
        <v>0.31907991747885806</v>
      </c>
    </row>
    <row r="62" spans="1:6" ht="31.5" customHeight="1" x14ac:dyDescent="0.2">
      <c r="A62" s="79" t="s">
        <v>1171</v>
      </c>
      <c r="B62" s="72">
        <f>SUM('SGTO POAI 2024 ARMONIZADO'!AO469:AO489)</f>
        <v>1653766680.02</v>
      </c>
      <c r="C62" s="147">
        <f>SUM('SGTO POAI 2024 ARMONIZADO'!AP469:AP489)</f>
        <v>1132553047.52</v>
      </c>
      <c r="D62" s="145">
        <f t="shared" si="0"/>
        <v>0.68483242600238103</v>
      </c>
      <c r="E62" s="147">
        <f>SUM('SGTO POAI 2024 ARMONIZADO'!AQ469:AQ489)</f>
        <v>421072200</v>
      </c>
      <c r="F62" s="145">
        <f t="shared" si="1"/>
        <v>0.25461403055654003</v>
      </c>
    </row>
    <row r="63" spans="1:6" ht="32.25" customHeight="1" x14ac:dyDescent="0.2">
      <c r="A63" s="98" t="s">
        <v>1172</v>
      </c>
      <c r="B63" s="70">
        <f>B64</f>
        <v>390117441.65999997</v>
      </c>
      <c r="C63" s="150">
        <f>C64</f>
        <v>348459998</v>
      </c>
      <c r="D63" s="162">
        <f t="shared" si="0"/>
        <v>0.89321819736451114</v>
      </c>
      <c r="E63" s="150">
        <f>E64</f>
        <v>190370370</v>
      </c>
      <c r="F63" s="162">
        <f t="shared" si="1"/>
        <v>0.48798220656310459</v>
      </c>
    </row>
    <row r="64" spans="1:6" ht="25.5" customHeight="1" x14ac:dyDescent="0.2">
      <c r="A64" s="4" t="s">
        <v>1173</v>
      </c>
      <c r="B64" s="72">
        <f>SUM('SGTO POAI 2024 ARMONIZADO'!AO490:AO497)</f>
        <v>390117441.65999997</v>
      </c>
      <c r="C64" s="147">
        <f>SUM('SGTO POAI 2024 ARMONIZADO'!AP490:AP497)</f>
        <v>348459998</v>
      </c>
      <c r="D64" s="145">
        <f t="shared" si="0"/>
        <v>0.89321819736451114</v>
      </c>
      <c r="E64" s="147">
        <f>SUM('SGTO POAI 2024 ARMONIZADO'!AQ490:AQ497)</f>
        <v>190370370</v>
      </c>
      <c r="F64" s="145">
        <f t="shared" si="1"/>
        <v>0.48798220656310459</v>
      </c>
    </row>
    <row r="65" spans="1:6" ht="27.75" customHeight="1" x14ac:dyDescent="0.2">
      <c r="A65" s="95" t="s">
        <v>1174</v>
      </c>
      <c r="B65" s="99">
        <f>B63+B60+B55</f>
        <v>19366177408.790001</v>
      </c>
      <c r="C65" s="160">
        <f>C63+C60+C55</f>
        <v>13248496032.15</v>
      </c>
      <c r="D65" s="165">
        <f t="shared" si="0"/>
        <v>0.68410485727228321</v>
      </c>
      <c r="E65" s="160">
        <f>E63+E60+E55</f>
        <v>9339745158</v>
      </c>
      <c r="F65" s="165">
        <f t="shared" si="1"/>
        <v>0.48227096968350802</v>
      </c>
    </row>
    <row r="66" spans="1:6" x14ac:dyDescent="0.2">
      <c r="A66" s="120"/>
      <c r="B66" s="121"/>
      <c r="C66" s="121"/>
      <c r="D66" s="121"/>
      <c r="E66" s="121"/>
      <c r="F66" s="121"/>
    </row>
    <row r="67" spans="1:6" ht="27" customHeight="1" x14ac:dyDescent="0.2">
      <c r="A67" s="122" t="s">
        <v>1175</v>
      </c>
      <c r="B67" s="123">
        <f>B53+B65</f>
        <v>494776796420.01996</v>
      </c>
      <c r="C67" s="161">
        <f>C53+C65</f>
        <v>343611857017.5</v>
      </c>
      <c r="D67" s="146">
        <f t="shared" ref="D67" si="2">C67/B67</f>
        <v>0.69447851941263061</v>
      </c>
      <c r="E67" s="161">
        <f>E53+E65</f>
        <v>303951747804.09003</v>
      </c>
      <c r="F67" s="146">
        <f t="shared" si="1"/>
        <v>0.61432094229831868</v>
      </c>
    </row>
  </sheetData>
  <autoFilter ref="A2:G2" xr:uid="{00000000-0009-0000-0000-000003000000}"/>
  <mergeCells count="1">
    <mergeCell ref="A1:F1"/>
  </mergeCells>
  <pageMargins left="0.7" right="0.7" top="0.75" bottom="0.75" header="0.3" footer="0.3"/>
  <ignoredErrors>
    <ignoredError sqref="B5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2"/>
  <sheetViews>
    <sheetView showGridLines="0" zoomScale="90" zoomScaleNormal="90" workbookViewId="0">
      <selection activeCell="A9" sqref="A9:XFD9"/>
    </sheetView>
  </sheetViews>
  <sheetFormatPr baseColWidth="10" defaultColWidth="11.42578125" defaultRowHeight="12.75" x14ac:dyDescent="0.2"/>
  <cols>
    <col min="1" max="1" width="11.42578125" style="100"/>
    <col min="2" max="2" width="11.5703125" style="100" bestFit="1" customWidth="1"/>
    <col min="3" max="3" width="29.85546875" style="100" customWidth="1"/>
    <col min="4" max="4" width="20.85546875" style="100" bestFit="1" customWidth="1"/>
    <col min="5" max="5" width="21.28515625" style="100" customWidth="1"/>
    <col min="6" max="6" width="12.7109375" style="100" customWidth="1"/>
    <col min="7" max="7" width="20.7109375" style="100" customWidth="1"/>
    <col min="8" max="8" width="14" style="100" customWidth="1"/>
    <col min="9" max="16384" width="11.42578125" style="100"/>
  </cols>
  <sheetData>
    <row r="1" spans="2:8" ht="63" customHeight="1" x14ac:dyDescent="0.2">
      <c r="B1" s="236" t="s">
        <v>1214</v>
      </c>
      <c r="C1" s="237"/>
      <c r="D1" s="237"/>
      <c r="E1" s="237"/>
      <c r="F1" s="237"/>
      <c r="G1" s="237"/>
      <c r="H1" s="237"/>
    </row>
    <row r="2" spans="2:8" ht="46.5" customHeight="1" x14ac:dyDescent="0.2">
      <c r="B2" s="101" t="s">
        <v>1121</v>
      </c>
      <c r="C2" s="101" t="s">
        <v>1217</v>
      </c>
      <c r="D2" s="208" t="s">
        <v>1124</v>
      </c>
      <c r="E2" s="208" t="s">
        <v>1201</v>
      </c>
      <c r="F2" s="209" t="s">
        <v>1236</v>
      </c>
      <c r="G2" s="209" t="s">
        <v>1202</v>
      </c>
      <c r="H2" s="209" t="s">
        <v>1237</v>
      </c>
    </row>
    <row r="3" spans="2:8" s="104" customFormat="1" ht="63" customHeight="1" x14ac:dyDescent="0.25">
      <c r="B3" s="102">
        <f>'RESUMEN POAI - PROYECTOS'!B32</f>
        <v>1</v>
      </c>
      <c r="C3" s="103" t="str">
        <f>'RESUMEN POAI - PROYECTOS'!C32</f>
        <v>Social, Inclusiva y Participativa. "En el Quindío todos caben y nadie se quedan atrás".</v>
      </c>
      <c r="D3" s="189">
        <f>'RESUMEN POAI - PROYECTOS'!I32+'RESUMEN POAI - PROYECTOS'!I33+'RESUMEN POAI - PROYECTOS'!I34+'RESUMEN POAI - PROYECTOS'!I35+'RESUMEN POAI - PROYECTOS'!I36+'RESUMEN POAI - PROYECTOS'!I37+'RESUMEN POAI - PROYECTOS'!I46+'RESUMEN POAI - PROYECTOS'!I47+'RESUMEN POAI - PROYECTOS'!I48+'RESUMEN POAI - PROYECTOS'!I58+'RESUMEN POAI - PROYECTOS'!I59+'RESUMEN POAI - PROYECTOS'!I60+'RESUMEN POAI - PROYECTOS'!I61+'RESUMEN POAI - PROYECTOS'!I62+'RESUMEN POAI - PROYECTOS'!I63+'RESUMEN POAI - PROYECTOS'!I77+'RESUMEN POAI - PROYECTOS'!I78+'RESUMEN POAI - PROYECTOS'!I79+'RESUMEN POAI - PROYECTOS'!I80+'RESUMEN POAI - PROYECTOS'!I81+'RESUMEN POAI - PROYECTOS'!I82+'RESUMEN POAI - PROYECTOS'!I83+'RESUMEN POAI - PROYECTOS'!I140+'RESUMEN POAI - PROYECTOS'!I141+'RESUMEN POAI - PROYECTOS'!I142+'RESUMEN POAI - PROYECTOS'!I143+'RESUMEN POAI - PROYECTOS'!I144+'RESUMEN POAI - PROYECTOS'!I145+'RESUMEN POAI - PROYECTOS'!I146+'RESUMEN POAI - PROYECTOS'!I147+'RESUMEN POAI - PROYECTOS'!I148+'RESUMEN POAI - PROYECTOS'!I149+'RESUMEN POAI - PROYECTOS'!I151+'RESUMEN POAI - PROYECTOS'!I152+'RESUMEN POAI - PROYECTOS'!I153+'RESUMEN POAI - PROYECTOS'!I154+'RESUMEN POAI - PROYECTOS'!I155+'RESUMEN POAI - PROYECTOS'!I156+'RESUMEN POAI - PROYECTOS'!I157+'RESUMEN POAI - PROYECTOS'!I158+'RESUMEN POAI - PROYECTOS'!I159+'RESUMEN POAI - PROYECTOS'!I160+'RESUMEN POAI - PROYECTOS'!I161+'RESUMEN POAI - PROYECTOS'!I162+'RESUMEN POAI - PROYECTOS'!I163+'RESUMEN POAI - PROYECTOS'!I164+'RESUMEN POAI - PROYECTOS'!I165+'RESUMEN POAI - PROYECTOS'!I166+'RESUMEN POAI - PROYECTOS'!I167+'RESUMEN POAI - PROYECTOS'!I168+'RESUMEN POAI - PROYECTOS'!I169+'RESUMEN POAI - PROYECTOS'!I170+'RESUMEN POAI - PROYECTOS'!I171+'RESUMEN POAI - PROYECTOS'!I172+'RESUMEN POAI - PROYECTOS'!I173+'RESUMEN POAI - PROYECTOS'!I174+'RESUMEN POAI - PROYECTOS'!I175+'RESUMEN POAI - PROYECTOS'!I176+'RESUMEN POAI - PROYECTOS'!I187+'RESUMEN POAI - PROYECTOS'!I188+'RESUMEN POAI - PROYECTOS'!I192+'RESUMEN POAI - PROYECTOS'!I193+'RESUMEN POAI - PROYECTOS'!I194+'RESUMEN POAI - PROYECTOS'!I195+'RESUMEN POAI - PROYECTOS'!I196+'RESUMEN POAI - PROYECTOS'!I197+'RESUMEN POAI - PROYECTOS'!I198+'RESUMEN POAI - PROYECTOS'!I199+'RESUMEN POAI - PROYECTOS'!I200+'RESUMEN POAI - PROYECTOS'!I201+'RESUMEN POAI - PROYECTOS'!I202+'RESUMEN POAI - PROYECTOS'!I203+'RESUMEN POAI - PROYECTOS'!I204+'RESUMEN POAI - PROYECTOS'!I205+'RESUMEN POAI - PROYECTOS'!I206+'RESUMEN POAI - PROYECTOS'!I207+'RESUMEN POAI - PROYECTOS'!I208+'RESUMEN POAI - PROYECTOS'!I209+'RESUMEN POAI - PROYECTOS'!I210+'RESUMEN POAI - PROYECTOS'!I211+'RESUMEN POAI - PROYECTOS'!I212+'RESUMEN POAI - PROYECTOS'!I213+'RESUMEN POAI - PROYECTOS'!I214+'RESUMEN POAI - PROYECTOS'!I215+'RESUMEN POAI - PROYECTOS'!I216+'RESUMEN POAI - PROYECTOS'!I217+'RESUMEN POAI - PROYECTOS'!I218+'RESUMEN POAI - PROYECTOS'!I219+'RESUMEN POAI - PROYECTOS'!I220+'RESUMEN POAI - PROYECTOS'!I221+'RESUMEN POAI - PROYECTOS'!I222+'RESUMEN POAI - PROYECTOS'!I223+'RESUMEN POAI - PROYECTOS'!I224+'RESUMEN POAI - PROYECTOS'!I225+'RESUMEN POAI - PROYECTOS'!I226+'RESUMEN POAI - PROYECTOS'!I227+'RESUMEN POAI - PROYECTOS'!I228+'RESUMEN POAI - PROYECTOS'!I229+'RESUMEN POAI - PROYECTOS'!I230+'RESUMEN POAI - PROYECTOS'!I231+'RESUMEN POAI - PROYECTOS'!I244+'RESUMEN POAI - PROYECTOS'!I245+'RESUMEN POAI - PROYECTOS'!I246+'RESUMEN POAI - PROYECTOS'!I247+'RESUMEN POAI - PROYECTOS'!I249+'RESUMEN POAI - PROYECTOS'!I250+'RESUMEN POAI - PROYECTOS'!I251+'RESUMEN POAI - PROYECTOS'!I252</f>
        <v>399196093967.21008</v>
      </c>
      <c r="E3" s="189">
        <f>'RESUMEN POAI - PROYECTOS'!J32+'RESUMEN POAI - PROYECTOS'!J33+'RESUMEN POAI - PROYECTOS'!J34+'RESUMEN POAI - PROYECTOS'!J35+'RESUMEN POAI - PROYECTOS'!J36+'RESUMEN POAI - PROYECTOS'!J37+'RESUMEN POAI - PROYECTOS'!J46+'RESUMEN POAI - PROYECTOS'!J47+'RESUMEN POAI - PROYECTOS'!J48+'RESUMEN POAI - PROYECTOS'!J58+'RESUMEN POAI - PROYECTOS'!J59+'RESUMEN POAI - PROYECTOS'!J60+'RESUMEN POAI - PROYECTOS'!J61+'RESUMEN POAI - PROYECTOS'!J62+'RESUMEN POAI - PROYECTOS'!J63+'RESUMEN POAI - PROYECTOS'!J77+'RESUMEN POAI - PROYECTOS'!J78+'RESUMEN POAI - PROYECTOS'!J79+'RESUMEN POAI - PROYECTOS'!J80+'RESUMEN POAI - PROYECTOS'!J81+'RESUMEN POAI - PROYECTOS'!J82+'RESUMEN POAI - PROYECTOS'!J83+'RESUMEN POAI - PROYECTOS'!J140+'RESUMEN POAI - PROYECTOS'!J141+'RESUMEN POAI - PROYECTOS'!J142+'RESUMEN POAI - PROYECTOS'!J143+'RESUMEN POAI - PROYECTOS'!J144+'RESUMEN POAI - PROYECTOS'!J145+'RESUMEN POAI - PROYECTOS'!J146+'RESUMEN POAI - PROYECTOS'!J147+'RESUMEN POAI - PROYECTOS'!J148+'RESUMEN POAI - PROYECTOS'!J149+'RESUMEN POAI - PROYECTOS'!J151+'RESUMEN POAI - PROYECTOS'!J152+'RESUMEN POAI - PROYECTOS'!J153+'RESUMEN POAI - PROYECTOS'!J154+'RESUMEN POAI - PROYECTOS'!J155+'RESUMEN POAI - PROYECTOS'!J156+'RESUMEN POAI - PROYECTOS'!J157+'RESUMEN POAI - PROYECTOS'!J158+'RESUMEN POAI - PROYECTOS'!J159+'RESUMEN POAI - PROYECTOS'!J160+'RESUMEN POAI - PROYECTOS'!J161+'RESUMEN POAI - PROYECTOS'!J162+'RESUMEN POAI - PROYECTOS'!J163+'RESUMEN POAI - PROYECTOS'!J164+'RESUMEN POAI - PROYECTOS'!J165+'RESUMEN POAI - PROYECTOS'!J166+'RESUMEN POAI - PROYECTOS'!J167+'RESUMEN POAI - PROYECTOS'!J168+'RESUMEN POAI - PROYECTOS'!J169+'RESUMEN POAI - PROYECTOS'!J170+'RESUMEN POAI - PROYECTOS'!J171+'RESUMEN POAI - PROYECTOS'!J172+'RESUMEN POAI - PROYECTOS'!J173+'RESUMEN POAI - PROYECTOS'!J174+'RESUMEN POAI - PROYECTOS'!J175+'RESUMEN POAI - PROYECTOS'!J176+'RESUMEN POAI - PROYECTOS'!J187+'RESUMEN POAI - PROYECTOS'!J188+'RESUMEN POAI - PROYECTOS'!J192+'RESUMEN POAI - PROYECTOS'!J193+'RESUMEN POAI - PROYECTOS'!J194+'RESUMEN POAI - PROYECTOS'!J195+'RESUMEN POAI - PROYECTOS'!J196+'RESUMEN POAI - PROYECTOS'!J197+'RESUMEN POAI - PROYECTOS'!J198+'RESUMEN POAI - PROYECTOS'!J199+'RESUMEN POAI - PROYECTOS'!J200+'RESUMEN POAI - PROYECTOS'!J201+'RESUMEN POAI - PROYECTOS'!J202+'RESUMEN POAI - PROYECTOS'!J203+'RESUMEN POAI - PROYECTOS'!J204+'RESUMEN POAI - PROYECTOS'!J205+'RESUMEN POAI - PROYECTOS'!J206+'RESUMEN POAI - PROYECTOS'!J207+'RESUMEN POAI - PROYECTOS'!J208+'RESUMEN POAI - PROYECTOS'!J209+'RESUMEN POAI - PROYECTOS'!J210+'RESUMEN POAI - PROYECTOS'!J211+'RESUMEN POAI - PROYECTOS'!J212+'RESUMEN POAI - PROYECTOS'!J213+'RESUMEN POAI - PROYECTOS'!J214+'RESUMEN POAI - PROYECTOS'!J215+'RESUMEN POAI - PROYECTOS'!J216+'RESUMEN POAI - PROYECTOS'!J217+'RESUMEN POAI - PROYECTOS'!J218+'RESUMEN POAI - PROYECTOS'!J219+'RESUMEN POAI - PROYECTOS'!J220+'RESUMEN POAI - PROYECTOS'!J221+'RESUMEN POAI - PROYECTOS'!J222+'RESUMEN POAI - PROYECTOS'!J223+'RESUMEN POAI - PROYECTOS'!J224+'RESUMEN POAI - PROYECTOS'!J225+'RESUMEN POAI - PROYECTOS'!J226+'RESUMEN POAI - PROYECTOS'!J227+'RESUMEN POAI - PROYECTOS'!J228+'RESUMEN POAI - PROYECTOS'!J229+'RESUMEN POAI - PROYECTOS'!J230+'RESUMEN POAI - PROYECTOS'!J231+'RESUMEN POAI - PROYECTOS'!J244+'RESUMEN POAI - PROYECTOS'!J245+'RESUMEN POAI - PROYECTOS'!J246+'RESUMEN POAI - PROYECTOS'!J247+'RESUMEN POAI - PROYECTOS'!J249+'RESUMEN POAI - PROYECTOS'!J250+'RESUMEN POAI - PROYECTOS'!J251+'RESUMEN POAI - PROYECTOS'!J252</f>
        <v>300347147903.99011</v>
      </c>
      <c r="F3" s="166">
        <f>E3/D3</f>
        <v>0.75237997676565593</v>
      </c>
      <c r="G3" s="189">
        <f>'RESUMEN POAI - PROYECTOS'!L32+'RESUMEN POAI - PROYECTOS'!L33+'RESUMEN POAI - PROYECTOS'!L34+'RESUMEN POAI - PROYECTOS'!L35+'RESUMEN POAI - PROYECTOS'!L36+'RESUMEN POAI - PROYECTOS'!L37+'RESUMEN POAI - PROYECTOS'!L46+'RESUMEN POAI - PROYECTOS'!L47+'RESUMEN POAI - PROYECTOS'!L48+'RESUMEN POAI - PROYECTOS'!L58+'RESUMEN POAI - PROYECTOS'!L59+'RESUMEN POAI - PROYECTOS'!L60+'RESUMEN POAI - PROYECTOS'!L61+'RESUMEN POAI - PROYECTOS'!L62+'RESUMEN POAI - PROYECTOS'!L63+'RESUMEN POAI - PROYECTOS'!L77+'RESUMEN POAI - PROYECTOS'!L78+'RESUMEN POAI - PROYECTOS'!L79+'RESUMEN POAI - PROYECTOS'!L80+'RESUMEN POAI - PROYECTOS'!L81+'RESUMEN POAI - PROYECTOS'!L82+'RESUMEN POAI - PROYECTOS'!L83+'RESUMEN POAI - PROYECTOS'!L140+'RESUMEN POAI - PROYECTOS'!L141+'RESUMEN POAI - PROYECTOS'!L142+'RESUMEN POAI - PROYECTOS'!L143+'RESUMEN POAI - PROYECTOS'!L144+'RESUMEN POAI - PROYECTOS'!L145+'RESUMEN POAI - PROYECTOS'!L146+'RESUMEN POAI - PROYECTOS'!L147+'RESUMEN POAI - PROYECTOS'!L148+'RESUMEN POAI - PROYECTOS'!L149+'RESUMEN POAI - PROYECTOS'!L151+'RESUMEN POAI - PROYECTOS'!L152+'RESUMEN POAI - PROYECTOS'!L153+'RESUMEN POAI - PROYECTOS'!L154+'RESUMEN POAI - PROYECTOS'!L155+'RESUMEN POAI - PROYECTOS'!L156+'RESUMEN POAI - PROYECTOS'!L157+'RESUMEN POAI - PROYECTOS'!L158+'RESUMEN POAI - PROYECTOS'!L159+'RESUMEN POAI - PROYECTOS'!L160+'RESUMEN POAI - PROYECTOS'!L161+'RESUMEN POAI - PROYECTOS'!L162+'RESUMEN POAI - PROYECTOS'!L163+'RESUMEN POAI - PROYECTOS'!L164+'RESUMEN POAI - PROYECTOS'!L165+'RESUMEN POAI - PROYECTOS'!L166+'RESUMEN POAI - PROYECTOS'!L167+'RESUMEN POAI - PROYECTOS'!L168+'RESUMEN POAI - PROYECTOS'!L169+'RESUMEN POAI - PROYECTOS'!L170+'RESUMEN POAI - PROYECTOS'!L171+'RESUMEN POAI - PROYECTOS'!L172+'RESUMEN POAI - PROYECTOS'!L173+'RESUMEN POAI - PROYECTOS'!L174+'RESUMEN POAI - PROYECTOS'!L175+'RESUMEN POAI - PROYECTOS'!L176+'RESUMEN POAI - PROYECTOS'!L187+'RESUMEN POAI - PROYECTOS'!L188+'RESUMEN POAI - PROYECTOS'!L192+'RESUMEN POAI - PROYECTOS'!L193+'RESUMEN POAI - PROYECTOS'!L194+'RESUMEN POAI - PROYECTOS'!L195+'RESUMEN POAI - PROYECTOS'!L196+'RESUMEN POAI - PROYECTOS'!L197+'RESUMEN POAI - PROYECTOS'!L198+'RESUMEN POAI - PROYECTOS'!L199+'RESUMEN POAI - PROYECTOS'!L200+'RESUMEN POAI - PROYECTOS'!L201+'RESUMEN POAI - PROYECTOS'!L202+'RESUMEN POAI - PROYECTOS'!L203+'RESUMEN POAI - PROYECTOS'!L204+'RESUMEN POAI - PROYECTOS'!L205+'RESUMEN POAI - PROYECTOS'!L206+'RESUMEN POAI - PROYECTOS'!L207+'RESUMEN POAI - PROYECTOS'!L208+'RESUMEN POAI - PROYECTOS'!L209+'RESUMEN POAI - PROYECTOS'!L210+'RESUMEN POAI - PROYECTOS'!L211+'RESUMEN POAI - PROYECTOS'!L212+'RESUMEN POAI - PROYECTOS'!L213+'RESUMEN POAI - PROYECTOS'!L214+'RESUMEN POAI - PROYECTOS'!L215+'RESUMEN POAI - PROYECTOS'!L216+'RESUMEN POAI - PROYECTOS'!L217+'RESUMEN POAI - PROYECTOS'!L218+'RESUMEN POAI - PROYECTOS'!L219+'RESUMEN POAI - PROYECTOS'!L220+'RESUMEN POAI - PROYECTOS'!L221+'RESUMEN POAI - PROYECTOS'!L222+'RESUMEN POAI - PROYECTOS'!L223+'RESUMEN POAI - PROYECTOS'!L224+'RESUMEN POAI - PROYECTOS'!L225+'RESUMEN POAI - PROYECTOS'!L226+'RESUMEN POAI - PROYECTOS'!L227+'RESUMEN POAI - PROYECTOS'!L228+'RESUMEN POAI - PROYECTOS'!L229+'RESUMEN POAI - PROYECTOS'!L230+'RESUMEN POAI - PROYECTOS'!L231+'RESUMEN POAI - PROYECTOS'!L244+'RESUMEN POAI - PROYECTOS'!L245+'RESUMEN POAI - PROYECTOS'!L246+'RESUMEN POAI - PROYECTOS'!L247+'RESUMEN POAI - PROYECTOS'!L249+'RESUMEN POAI - PROYECTOS'!L250+'RESUMEN POAI - PROYECTOS'!L251+'RESUMEN POAI - PROYECTOS'!L252</f>
        <v>272232117395.72998</v>
      </c>
      <c r="H3" s="166">
        <f>G3/D3</f>
        <v>0.68195085450433057</v>
      </c>
    </row>
    <row r="4" spans="2:8" s="104" customFormat="1" ht="97.5" customHeight="1" x14ac:dyDescent="0.25">
      <c r="B4" s="102">
        <f>'RESUMEN POAI - PROYECTOS'!B40</f>
        <v>2</v>
      </c>
      <c r="C4" s="103" t="str">
        <f>'RESUMEN POAI - PROYECTOS'!C40</f>
        <v>Productividad, Competitividad y Medio Ambiente. “Quindío amigo de las empresas y el empleo. Quindío verde, territorio de agua, agricultura y medio ambiente”</v>
      </c>
      <c r="D4" s="189">
        <f>'RESUMEN POAI - PROYECTOS'!I40+'RESUMEN POAI - PROYECTOS'!I41+'RESUMEN POAI - PROYECTOS'!I49+'RESUMEN POAI - PROYECTOS'!I68+'RESUMEN POAI - PROYECTOS'!I69+'RESUMEN POAI - PROYECTOS'!I70+'RESUMEN POAI - PROYECTOS'!I86+'RESUMEN POAI - PROYECTOS'!I88+'RESUMEN POAI - PROYECTOS'!I91+'RESUMEN POAI - PROYECTOS'!I94+'RESUMEN POAI - PROYECTOS'!I95+'RESUMEN POAI - PROYECTOS'!I96+'RESUMEN POAI - PROYECTOS'!I99+'RESUMEN POAI - PROYECTOS'!I100+'RESUMEN POAI - PROYECTOS'!I101+'RESUMEN POAI - PROYECTOS'!I102+'RESUMEN POAI - PROYECTOS'!I103+'RESUMEN POAI - PROYECTOS'!I104+'RESUMEN POAI - PROYECTOS'!I105+'RESUMEN POAI - PROYECTOS'!I106+'RESUMEN POAI - PROYECTOS'!I107+'RESUMEN POAI - PROYECTOS'!I108+'RESUMEN POAI - PROYECTOS'!I109+'RESUMEN POAI - PROYECTOS'!I110+'RESUMEN POAI - PROYECTOS'!I111+'RESUMEN POAI - PROYECTOS'!I112+'RESUMEN POAI - PROYECTOS'!I113+'RESUMEN POAI - PROYECTOS'!I114+'RESUMEN POAI - PROYECTOS'!I115+'RESUMEN POAI - PROYECTOS'!I116+'RESUMEN POAI - PROYECTOS'!I117+'RESUMEN POAI - PROYECTOS'!I118+'RESUMEN POAI - PROYECTOS'!I119+'RESUMEN POAI - PROYECTOS'!I120+'RESUMEN POAI - PROYECTOS'!I121+'RESUMEN POAI - PROYECTOS'!I122+'RESUMEN POAI - PROYECTOS'!I123+'RESUMEN POAI - PROYECTOS'!I124+'RESUMEN POAI - PROYECTOS'!I125+'RESUMEN POAI - PROYECTOS'!I126+'RESUMEN POAI - PROYECTOS'!I127+'RESUMEN POAI - PROYECTOS'!I128+'RESUMEN POAI - PROYECTOS'!I129+'RESUMEN POAI - PROYECTOS'!I131+'RESUMEN POAI - PROYECTOS'!I177+'RESUMEN POAI - PROYECTOS'!I178</f>
        <v>8521257361.3199997</v>
      </c>
      <c r="E4" s="189">
        <f>'RESUMEN POAI - PROYECTOS'!J40+'RESUMEN POAI - PROYECTOS'!J41+'RESUMEN POAI - PROYECTOS'!J49+'RESUMEN POAI - PROYECTOS'!J68+'RESUMEN POAI - PROYECTOS'!J69+'RESUMEN POAI - PROYECTOS'!J70+'RESUMEN POAI - PROYECTOS'!J86+'RESUMEN POAI - PROYECTOS'!J88+'RESUMEN POAI - PROYECTOS'!J91+'RESUMEN POAI - PROYECTOS'!J94+'RESUMEN POAI - PROYECTOS'!J95+'RESUMEN POAI - PROYECTOS'!J96+'RESUMEN POAI - PROYECTOS'!J99+'RESUMEN POAI - PROYECTOS'!J100+'RESUMEN POAI - PROYECTOS'!J101+'RESUMEN POAI - PROYECTOS'!J102+'RESUMEN POAI - PROYECTOS'!J103+'RESUMEN POAI - PROYECTOS'!J104+'RESUMEN POAI - PROYECTOS'!J105+'RESUMEN POAI - PROYECTOS'!J106+'RESUMEN POAI - PROYECTOS'!J107+'RESUMEN POAI - PROYECTOS'!J108+'RESUMEN POAI - PROYECTOS'!J109+'RESUMEN POAI - PROYECTOS'!J110+'RESUMEN POAI - PROYECTOS'!J111+'RESUMEN POAI - PROYECTOS'!J112+'RESUMEN POAI - PROYECTOS'!J113+'RESUMEN POAI - PROYECTOS'!J114+'RESUMEN POAI - PROYECTOS'!J115+'RESUMEN POAI - PROYECTOS'!J116+'RESUMEN POAI - PROYECTOS'!J117+'RESUMEN POAI - PROYECTOS'!J118+'RESUMEN POAI - PROYECTOS'!J119+'RESUMEN POAI - PROYECTOS'!J120+'RESUMEN POAI - PROYECTOS'!J121+'RESUMEN POAI - PROYECTOS'!J122+'RESUMEN POAI - PROYECTOS'!J123+'RESUMEN POAI - PROYECTOS'!J124+'RESUMEN POAI - PROYECTOS'!J125+'RESUMEN POAI - PROYECTOS'!J126+'RESUMEN POAI - PROYECTOS'!J127+'RESUMEN POAI - PROYECTOS'!J128+'RESUMEN POAI - PROYECTOS'!J129+'RESUMEN POAI - PROYECTOS'!J131+'RESUMEN POAI - PROYECTOS'!J177+'RESUMEN POAI - PROYECTOS'!J178</f>
        <v>4564929325.9499998</v>
      </c>
      <c r="F4" s="166">
        <f t="shared" ref="F4:F7" si="0">E4/D4</f>
        <v>0.53571076806942741</v>
      </c>
      <c r="G4" s="189">
        <f>'RESUMEN POAI - PROYECTOS'!L40+'RESUMEN POAI - PROYECTOS'!L41+'RESUMEN POAI - PROYECTOS'!L49+'RESUMEN POAI - PROYECTOS'!L68+'RESUMEN POAI - PROYECTOS'!L69+'RESUMEN POAI - PROYECTOS'!L70+'RESUMEN POAI - PROYECTOS'!L86+'RESUMEN POAI - PROYECTOS'!L88+'RESUMEN POAI - PROYECTOS'!L91+'RESUMEN POAI - PROYECTOS'!L94+'RESUMEN POAI - PROYECTOS'!L95+'RESUMEN POAI - PROYECTOS'!L96+'RESUMEN POAI - PROYECTOS'!L99+'RESUMEN POAI - PROYECTOS'!L100+'RESUMEN POAI - PROYECTOS'!L101+'RESUMEN POAI - PROYECTOS'!L102+'RESUMEN POAI - PROYECTOS'!L103+'RESUMEN POAI - PROYECTOS'!L104+'RESUMEN POAI - PROYECTOS'!L105+'RESUMEN POAI - PROYECTOS'!L106+'RESUMEN POAI - PROYECTOS'!L107+'RESUMEN POAI - PROYECTOS'!L108+'RESUMEN POAI - PROYECTOS'!L109+'RESUMEN POAI - PROYECTOS'!L110+'RESUMEN POAI - PROYECTOS'!L111+'RESUMEN POAI - PROYECTOS'!L112+'RESUMEN POAI - PROYECTOS'!L113+'RESUMEN POAI - PROYECTOS'!L114+'RESUMEN POAI - PROYECTOS'!L115+'RESUMEN POAI - PROYECTOS'!L116+'RESUMEN POAI - PROYECTOS'!L117+'RESUMEN POAI - PROYECTOS'!L118+'RESUMEN POAI - PROYECTOS'!L119+'RESUMEN POAI - PROYECTOS'!L120+'RESUMEN POAI - PROYECTOS'!L121+'RESUMEN POAI - PROYECTOS'!L122+'RESUMEN POAI - PROYECTOS'!L123+'RESUMEN POAI - PROYECTOS'!L124+'RESUMEN POAI - PROYECTOS'!L125+'RESUMEN POAI - PROYECTOS'!L126+'RESUMEN POAI - PROYECTOS'!L127+'RESUMEN POAI - PROYECTOS'!L128+'RESUMEN POAI - PROYECTOS'!L129+'RESUMEN POAI - PROYECTOS'!L131+'RESUMEN POAI - PROYECTOS'!L177+'RESUMEN POAI - PROYECTOS'!L178</f>
        <v>3272264583</v>
      </c>
      <c r="H4" s="166">
        <f t="shared" ref="H4:H6" si="1">G4/D4</f>
        <v>0.38401194145990497</v>
      </c>
    </row>
    <row r="5" spans="2:8" s="104" customFormat="1" ht="82.5" customHeight="1" x14ac:dyDescent="0.25">
      <c r="B5" s="102">
        <f>'RESUMEN POAI - PROYECTOS'!B233</f>
        <v>3</v>
      </c>
      <c r="C5" s="103" t="str">
        <f>'RESUMEN POAI - PROYECTOS'!C233</f>
        <v>Convergencia Territorial.  “Quindío interconectado territorialmente, donde el progreso y las oportunidades llegan a todos los rincones”</v>
      </c>
      <c r="D5" s="189">
        <f>'RESUMEN POAI - PROYECTOS'!I38+'RESUMEN POAI - PROYECTOS'!I39+'RESUMEN POAI - PROYECTOS'!I42+'RESUMEN POAI - PROYECTOS'!I43+'RESUMEN POAI - PROYECTOS'!I50+'RESUMEN POAI - PROYECTOS'!I85+'RESUMEN POAI - PROYECTOS'!I87+'RESUMEN POAI - PROYECTOS'!I89+'RESUMEN POAI - PROYECTOS'!I90+'RESUMEN POAI - PROYECTOS'!I92+'RESUMEN POAI - PROYECTOS'!I93+'RESUMEN POAI - PROYECTOS'!I233+'RESUMEN POAI - PROYECTOS'!I234+'RESUMEN POAI - PROYECTOS'!I235+'RESUMEN POAI - PROYECTOS'!I237+'RESUMEN POAI - PROYECTOS'!I239+'RESUMEN POAI - PROYECTOS'!I241+'RESUMEN POAI - PROYECTOS'!I253+'RESUMEN POAI - PROYECTOS'!I254+'RESUMEN POAI - PROYECTOS'!I255+'RESUMEN POAI - PROYECTOS'!I256+'RESUMEN POAI - PROYECTOS'!I259+'RESUMEN POAI - PROYECTOS'!I260+'RESUMEN POAI - PROYECTOS'!I262+'RESUMEN POAI - PROYECTOS'!I263</f>
        <v>62729693132.670006</v>
      </c>
      <c r="E5" s="189">
        <f>'RESUMEN POAI - PROYECTOS'!J38+'RESUMEN POAI - PROYECTOS'!J39+'RESUMEN POAI - PROYECTOS'!J42+'RESUMEN POAI - PROYECTOS'!J43+'RESUMEN POAI - PROYECTOS'!J50+'RESUMEN POAI - PROYECTOS'!J85+'RESUMEN POAI - PROYECTOS'!J87+'RESUMEN POAI - PROYECTOS'!J89+'RESUMEN POAI - PROYECTOS'!J90+'RESUMEN POAI - PROYECTOS'!J92+'RESUMEN POAI - PROYECTOS'!J93+'RESUMEN POAI - PROYECTOS'!J233+'RESUMEN POAI - PROYECTOS'!J234+'RESUMEN POAI - PROYECTOS'!J235+'RESUMEN POAI - PROYECTOS'!J237+'RESUMEN POAI - PROYECTOS'!J239+'RESUMEN POAI - PROYECTOS'!J241+'RESUMEN POAI - PROYECTOS'!J253+'RESUMEN POAI - PROYECTOS'!J254+'RESUMEN POAI - PROYECTOS'!J255+'RESUMEN POAI - PROYECTOS'!J256+'RESUMEN POAI - PROYECTOS'!J259+'RESUMEN POAI - PROYECTOS'!J260+'RESUMEN POAI - PROYECTOS'!J262+'RESUMEN POAI - PROYECTOS'!J263</f>
        <v>24801331715.82</v>
      </c>
      <c r="F5" s="166">
        <f t="shared" si="0"/>
        <v>0.39536829334341689</v>
      </c>
      <c r="G5" s="189">
        <f>'RESUMEN POAI - PROYECTOS'!L38+'RESUMEN POAI - PROYECTOS'!L39+'RESUMEN POAI - PROYECTOS'!L42+'RESUMEN POAI - PROYECTOS'!L43+'RESUMEN POAI - PROYECTOS'!L50+'RESUMEN POAI - PROYECTOS'!L85+'RESUMEN POAI - PROYECTOS'!L87+'RESUMEN POAI - PROYECTOS'!L89+'RESUMEN POAI - PROYECTOS'!L90+'RESUMEN POAI - PROYECTOS'!L92+'RESUMEN POAI - PROYECTOS'!L93+'RESUMEN POAI - PROYECTOS'!L233+'RESUMEN POAI - PROYECTOS'!L234+'RESUMEN POAI - PROYECTOS'!L235+'RESUMEN POAI - PROYECTOS'!L237+'RESUMEN POAI - PROYECTOS'!L239+'RESUMEN POAI - PROYECTOS'!L241+'RESUMEN POAI - PROYECTOS'!L253+'RESUMEN POAI - PROYECTOS'!L254+'RESUMEN POAI - PROYECTOS'!L255+'RESUMEN POAI - PROYECTOS'!L256+'RESUMEN POAI - PROYECTOS'!L259+'RESUMEN POAI - PROYECTOS'!L260+'RESUMEN POAI - PROYECTOS'!L262+'RESUMEN POAI - PROYECTOS'!L263</f>
        <v>18864549678.860001</v>
      </c>
      <c r="H5" s="166">
        <f t="shared" si="1"/>
        <v>0.30072759385196529</v>
      </c>
    </row>
    <row r="6" spans="2:8" s="104" customFormat="1" ht="63" customHeight="1" x14ac:dyDescent="0.25">
      <c r="B6" s="102">
        <f>'RESUMEN POAI - PROYECTOS'!B4</f>
        <v>4</v>
      </c>
      <c r="C6" s="103" t="str">
        <f>'RESUMEN POAI - PROYECTOS'!C4</f>
        <v xml:space="preserve">Gobernabilidad, Fortalecimiento Institucional y Seguridad. “Quindío territorio seguro y confiable” </v>
      </c>
      <c r="D6" s="189">
        <f>'RESUMEN POAI - PROYECTOS'!I4+'RESUMEN POAI - PROYECTOS'!I5+'RESUMEN POAI - PROYECTOS'!I6+'RESUMEN POAI - PROYECTOS'!I7+'RESUMEN POAI - PROYECTOS'!I8+'RESUMEN POAI - PROYECTOS'!I9+'RESUMEN POAI - PROYECTOS'!I10+'RESUMEN POAI - PROYECTOS'!I11+'RESUMEN POAI - PROYECTOS'!I13+'RESUMEN POAI - PROYECTOS'!I14+'RESUMEN POAI - PROYECTOS'!I15+'RESUMEN POAI - PROYECTOS'!I16+'RESUMEN POAI - PROYECTOS'!I17+'RESUMEN POAI - PROYECTOS'!I18+'RESUMEN POAI - PROYECTOS'!I19+'RESUMEN POAI - PROYECTOS'!I20+'RESUMEN POAI - PROYECTOS'!I21+'RESUMEN POAI - PROYECTOS'!I22+'RESUMEN POAI - PROYECTOS'!I23+'RESUMEN POAI - PROYECTOS'!I24+'RESUMEN POAI - PROYECTOS'!I25+'RESUMEN POAI - PROYECTOS'!I27+'RESUMEN POAI - PROYECTOS'!I28+'RESUMEN POAI - PROYECTOS'!I29+'RESUMEN POAI - PROYECTOS'!I31+'RESUMEN POAI - PROYECTOS'!I44+'RESUMEN POAI - PROYECTOS'!I45+'RESUMEN POAI - PROYECTOS'!I52+'RESUMEN POAI - PROYECTOS'!I53+'RESUMEN POAI - PROYECTOS'!I54+'RESUMEN POAI - PROYECTOS'!I55+'RESUMEN POAI - PROYECTOS'!I56+'RESUMEN POAI - PROYECTOS'!I57+'RESUMEN POAI - PROYECTOS'!I64+'RESUMEN POAI - PROYECTOS'!I65+'RESUMEN POAI - PROYECTOS'!I66+'RESUMEN POAI - PROYECTOS'!I67+'RESUMEN POAI - PROYECTOS'!I71+'RESUMEN POAI - PROYECTOS'!I72+'RESUMEN POAI - PROYECTOS'!I73+'RESUMEN POAI - PROYECTOS'!I74+'RESUMEN POAI - PROYECTOS'!I75+'RESUMEN POAI - PROYECTOS'!I97+'RESUMEN POAI - PROYECTOS'!I130+'RESUMEN POAI - PROYECTOS'!I133+'RESUMEN POAI - PROYECTOS'!I134+'RESUMEN POAI - PROYECTOS'!I135+'RESUMEN POAI - PROYECTOS'!I136+'RESUMEN POAI - PROYECTOS'!I137+'RESUMEN POAI - PROYECTOS'!I138+'RESUMEN POAI - PROYECTOS'!I179+'RESUMEN POAI - PROYECTOS'!I180+'RESUMEN POAI - PROYECTOS'!I181+'RESUMEN POAI - PROYECTOS'!I182+'RESUMEN POAI - PROYECTOS'!I183+'RESUMEN POAI - PROYECTOS'!I184+'RESUMEN POAI - PROYECTOS'!I185+'RESUMEN POAI - PROYECTOS'!I186+'RESUMEN POAI - PROYECTOS'!I189+'RESUMEN POAI - PROYECTOS'!I190+'RESUMEN POAI - PROYECTOS'!I236+'RESUMEN POAI - PROYECTOS'!I238+'RESUMEN POAI - PROYECTOS'!I240+'RESUMEN POAI - PROYECTOS'!I242+'RESUMEN POAI - PROYECTOS'!I257+'RESUMEN POAI - PROYECTOS'!I258</f>
        <v>24329751958.82</v>
      </c>
      <c r="E6" s="189">
        <f>'RESUMEN POAI - PROYECTOS'!J4+'RESUMEN POAI - PROYECTOS'!J5+'RESUMEN POAI - PROYECTOS'!J6+'RESUMEN POAI - PROYECTOS'!J7+'RESUMEN POAI - PROYECTOS'!J8+'RESUMEN POAI - PROYECTOS'!J9+'RESUMEN POAI - PROYECTOS'!J10+'RESUMEN POAI - PROYECTOS'!J11+'RESUMEN POAI - PROYECTOS'!J13+'RESUMEN POAI - PROYECTOS'!J14+'RESUMEN POAI - PROYECTOS'!J15+'RESUMEN POAI - PROYECTOS'!J16+'RESUMEN POAI - PROYECTOS'!J17+'RESUMEN POAI - PROYECTOS'!J18+'RESUMEN POAI - PROYECTOS'!J19+'RESUMEN POAI - PROYECTOS'!J20+'RESUMEN POAI - PROYECTOS'!J21+'RESUMEN POAI - PROYECTOS'!J22+'RESUMEN POAI - PROYECTOS'!J23+'RESUMEN POAI - PROYECTOS'!J24+'RESUMEN POAI - PROYECTOS'!J25+'RESUMEN POAI - PROYECTOS'!J27+'RESUMEN POAI - PROYECTOS'!J28+'RESUMEN POAI - PROYECTOS'!J29+'RESUMEN POAI - PROYECTOS'!J31+'RESUMEN POAI - PROYECTOS'!J44+'RESUMEN POAI - PROYECTOS'!J45+'RESUMEN POAI - PROYECTOS'!J52+'RESUMEN POAI - PROYECTOS'!J53+'RESUMEN POAI - PROYECTOS'!J54+'RESUMEN POAI - PROYECTOS'!J55+'RESUMEN POAI - PROYECTOS'!J56+'RESUMEN POAI - PROYECTOS'!J57+'RESUMEN POAI - PROYECTOS'!J64+'RESUMEN POAI - PROYECTOS'!J65+'RESUMEN POAI - PROYECTOS'!J66+'RESUMEN POAI - PROYECTOS'!J67+'RESUMEN POAI - PROYECTOS'!J71+'RESUMEN POAI - PROYECTOS'!J72+'RESUMEN POAI - PROYECTOS'!J73+'RESUMEN POAI - PROYECTOS'!J74+'RESUMEN POAI - PROYECTOS'!J75+'RESUMEN POAI - PROYECTOS'!J97+'RESUMEN POAI - PROYECTOS'!J130+'RESUMEN POAI - PROYECTOS'!J133+'RESUMEN POAI - PROYECTOS'!J134+'RESUMEN POAI - PROYECTOS'!J135+'RESUMEN POAI - PROYECTOS'!J136+'RESUMEN POAI - PROYECTOS'!J137+'RESUMEN POAI - PROYECTOS'!J138+'RESUMEN POAI - PROYECTOS'!J179+'RESUMEN POAI - PROYECTOS'!J180+'RESUMEN POAI - PROYECTOS'!J181+'RESUMEN POAI - PROYECTOS'!J182+'RESUMEN POAI - PROYECTOS'!J183+'RESUMEN POAI - PROYECTOS'!J184+'RESUMEN POAI - PROYECTOS'!J185+'RESUMEN POAI - PROYECTOS'!J186+'RESUMEN POAI - PROYECTOS'!J189+'RESUMEN POAI - PROYECTOS'!J190+'RESUMEN POAI - PROYECTOS'!J236+'RESUMEN POAI - PROYECTOS'!J238+'RESUMEN POAI - PROYECTOS'!J240+'RESUMEN POAI - PROYECTOS'!J242+'RESUMEN POAI - PROYECTOS'!J257+'RESUMEN POAI - PROYECTOS'!J258</f>
        <v>13898448071.740002</v>
      </c>
      <c r="F6" s="166">
        <f t="shared" si="0"/>
        <v>0.57125317575223156</v>
      </c>
      <c r="G6" s="189">
        <f>'RESUMEN POAI - PROYECTOS'!L4+'RESUMEN POAI - PROYECTOS'!L5+'RESUMEN POAI - PROYECTOS'!L6+'RESUMEN POAI - PROYECTOS'!L7+'RESUMEN POAI - PROYECTOS'!L8+'RESUMEN POAI - PROYECTOS'!L9+'RESUMEN POAI - PROYECTOS'!L10+'RESUMEN POAI - PROYECTOS'!L11+'RESUMEN POAI - PROYECTOS'!L13+'RESUMEN POAI - PROYECTOS'!L14+'RESUMEN POAI - PROYECTOS'!L15+'RESUMEN POAI - PROYECTOS'!L16+'RESUMEN POAI - PROYECTOS'!L17+'RESUMEN POAI - PROYECTOS'!L18+'RESUMEN POAI - PROYECTOS'!L19+'RESUMEN POAI - PROYECTOS'!L20+'RESUMEN POAI - PROYECTOS'!L21+'RESUMEN POAI - PROYECTOS'!L22+'RESUMEN POAI - PROYECTOS'!L23+'RESUMEN POAI - PROYECTOS'!L24+'RESUMEN POAI - PROYECTOS'!L25+'RESUMEN POAI - PROYECTOS'!L27+'RESUMEN POAI - PROYECTOS'!L28+'RESUMEN POAI - PROYECTOS'!L29+'RESUMEN POAI - PROYECTOS'!L31+'RESUMEN POAI - PROYECTOS'!L44+'RESUMEN POAI - PROYECTOS'!L45+'RESUMEN POAI - PROYECTOS'!L52+'RESUMEN POAI - PROYECTOS'!L53+'RESUMEN POAI - PROYECTOS'!L54+'RESUMEN POAI - PROYECTOS'!L55+'RESUMEN POAI - PROYECTOS'!L56+'RESUMEN POAI - PROYECTOS'!L57+'RESUMEN POAI - PROYECTOS'!L64+'RESUMEN POAI - PROYECTOS'!L65+'RESUMEN POAI - PROYECTOS'!L66+'RESUMEN POAI - PROYECTOS'!L67+'RESUMEN POAI - PROYECTOS'!L71+'RESUMEN POAI - PROYECTOS'!L72+'RESUMEN POAI - PROYECTOS'!L73+'RESUMEN POAI - PROYECTOS'!L74+'RESUMEN POAI - PROYECTOS'!L75+'RESUMEN POAI - PROYECTOS'!L97+'RESUMEN POAI - PROYECTOS'!L130+'RESUMEN POAI - PROYECTOS'!L133+'RESUMEN POAI - PROYECTOS'!L134+'RESUMEN POAI - PROYECTOS'!L135+'RESUMEN POAI - PROYECTOS'!L136+'RESUMEN POAI - PROYECTOS'!L137+'RESUMEN POAI - PROYECTOS'!L138+'RESUMEN POAI - PROYECTOS'!L179+'RESUMEN POAI - PROYECTOS'!L180+'RESUMEN POAI - PROYECTOS'!L181+'RESUMEN POAI - PROYECTOS'!L182+'RESUMEN POAI - PROYECTOS'!L183+'RESUMEN POAI - PROYECTOS'!L184+'RESUMEN POAI - PROYECTOS'!L185+'RESUMEN POAI - PROYECTOS'!L186+'RESUMEN POAI - PROYECTOS'!L189+'RESUMEN POAI - PROYECTOS'!L190+'RESUMEN POAI - PROYECTOS'!L236+'RESUMEN POAI - PROYECTOS'!L238+'RESUMEN POAI - PROYECTOS'!L240+'RESUMEN POAI - PROYECTOS'!L242+'RESUMEN POAI - PROYECTOS'!L257+'RESUMEN POAI - PROYECTOS'!L258</f>
        <v>9582816146.5</v>
      </c>
      <c r="H6" s="166">
        <f t="shared" si="1"/>
        <v>0.39387233222597839</v>
      </c>
    </row>
    <row r="7" spans="2:8" s="104" customFormat="1" ht="31.5" customHeight="1" x14ac:dyDescent="0.25">
      <c r="B7" s="238" t="s">
        <v>1215</v>
      </c>
      <c r="C7" s="238"/>
      <c r="D7" s="190">
        <f>SUM(D3:D6)</f>
        <v>494776796420.02008</v>
      </c>
      <c r="E7" s="190">
        <f>SUM(E3:E6)</f>
        <v>343611857017.50012</v>
      </c>
      <c r="F7" s="191">
        <f t="shared" si="0"/>
        <v>0.69447851941263061</v>
      </c>
      <c r="G7" s="190">
        <f>SUM(G3:G6)</f>
        <v>303951747804.08997</v>
      </c>
      <c r="H7" s="191">
        <f>G7/D7</f>
        <v>0.61432094229831835</v>
      </c>
    </row>
    <row r="8" spans="2:8" x14ac:dyDescent="0.2">
      <c r="B8" s="106"/>
      <c r="C8" s="107"/>
      <c r="D8" s="105"/>
      <c r="E8" s="105"/>
      <c r="F8" s="105"/>
      <c r="G8" s="105"/>
      <c r="H8" s="105"/>
    </row>
    <row r="9" spans="2:8" x14ac:dyDescent="0.2">
      <c r="B9" s="106"/>
      <c r="C9" s="107"/>
      <c r="D9" s="105"/>
      <c r="E9" s="105"/>
      <c r="F9" s="105"/>
      <c r="G9" s="105"/>
      <c r="H9" s="105"/>
    </row>
    <row r="10" spans="2:8" x14ac:dyDescent="0.2">
      <c r="D10" s="105"/>
      <c r="E10" s="105"/>
      <c r="F10" s="105"/>
      <c r="G10" s="105"/>
      <c r="H10" s="105"/>
    </row>
    <row r="11" spans="2:8" x14ac:dyDescent="0.2">
      <c r="D11" s="105"/>
      <c r="E11" s="105"/>
      <c r="F11" s="105"/>
      <c r="G11" s="105"/>
      <c r="H11" s="105"/>
    </row>
    <row r="12" spans="2:8" x14ac:dyDescent="0.2">
      <c r="D12" s="105"/>
      <c r="E12" s="105"/>
      <c r="F12" s="105"/>
      <c r="G12" s="105"/>
      <c r="H12" s="105"/>
    </row>
  </sheetData>
  <mergeCells count="2">
    <mergeCell ref="B1:H1"/>
    <mergeCell ref="B7:C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4"/>
  <sheetViews>
    <sheetView showGridLines="0" topLeftCell="A22" zoomScale="80" zoomScaleNormal="80" workbookViewId="0">
      <selection activeCell="J35" sqref="J34:J35"/>
    </sheetView>
  </sheetViews>
  <sheetFormatPr baseColWidth="10" defaultRowHeight="12.75" x14ac:dyDescent="0.2"/>
  <cols>
    <col min="1" max="1" width="19.140625" style="29" customWidth="1"/>
    <col min="2" max="2" width="20.5703125" style="27" customWidth="1"/>
    <col min="3" max="3" width="7.140625" style="27" customWidth="1"/>
    <col min="4" max="4" width="20.140625" style="27" customWidth="1"/>
    <col min="5" max="5" width="8.85546875" style="27" customWidth="1"/>
    <col min="6" max="6" width="20" style="27" customWidth="1"/>
    <col min="7" max="7" width="8.85546875" style="27" customWidth="1"/>
    <col min="8" max="8" width="21.42578125" style="27" customWidth="1"/>
    <col min="9" max="9" width="9.85546875" style="27" customWidth="1"/>
    <col min="10" max="10" width="19.5703125" style="27" customWidth="1"/>
    <col min="11" max="11" width="12.140625" style="18" customWidth="1"/>
    <col min="12" max="14" width="11.42578125" style="18"/>
    <col min="15" max="15" width="18" style="18" customWidth="1"/>
    <col min="16" max="16" width="11.42578125" style="18" customWidth="1"/>
    <col min="17" max="17" width="21.42578125" style="18" customWidth="1"/>
    <col min="18" max="18" width="11.42578125" style="18"/>
    <col min="19" max="19" width="20.140625" style="18" customWidth="1"/>
    <col min="20" max="20" width="11.42578125" style="18"/>
    <col min="21" max="21" width="20.5703125" style="18" customWidth="1"/>
    <col min="22" max="22" width="11.42578125" style="18"/>
    <col min="23" max="23" width="21.28515625" style="18" customWidth="1"/>
    <col min="24" max="252" width="11.42578125" style="18"/>
    <col min="253" max="253" width="13.28515625" style="18" customWidth="1"/>
    <col min="254" max="254" width="32.140625" style="18" customWidth="1"/>
    <col min="255" max="255" width="20.7109375" style="18" customWidth="1"/>
    <col min="256" max="256" width="10.42578125" style="18" customWidth="1"/>
    <col min="257" max="257" width="18.5703125" style="18" customWidth="1"/>
    <col min="258" max="258" width="11.7109375" style="18" customWidth="1"/>
    <col min="259" max="259" width="19.28515625" style="18" customWidth="1"/>
    <col min="260" max="260" width="10.28515625" style="18" customWidth="1"/>
    <col min="261" max="261" width="19.42578125" style="18" customWidth="1"/>
    <col min="262" max="262" width="10.28515625" style="18" customWidth="1"/>
    <col min="263" max="263" width="19.5703125" style="18" customWidth="1"/>
    <col min="264" max="264" width="10.42578125" style="18" customWidth="1"/>
    <col min="265" max="265" width="21.140625" style="18" customWidth="1"/>
    <col min="266" max="266" width="11.7109375" style="18" customWidth="1"/>
    <col min="267" max="508" width="11.42578125" style="18"/>
    <col min="509" max="509" width="13.28515625" style="18" customWidth="1"/>
    <col min="510" max="510" width="32.140625" style="18" customWidth="1"/>
    <col min="511" max="511" width="20.7109375" style="18" customWidth="1"/>
    <col min="512" max="512" width="10.42578125" style="18" customWidth="1"/>
    <col min="513" max="513" width="18.5703125" style="18" customWidth="1"/>
    <col min="514" max="514" width="11.7109375" style="18" customWidth="1"/>
    <col min="515" max="515" width="19.28515625" style="18" customWidth="1"/>
    <col min="516" max="516" width="10.28515625" style="18" customWidth="1"/>
    <col min="517" max="517" width="19.42578125" style="18" customWidth="1"/>
    <col min="518" max="518" width="10.28515625" style="18" customWidth="1"/>
    <col min="519" max="519" width="19.5703125" style="18" customWidth="1"/>
    <col min="520" max="520" width="10.42578125" style="18" customWidth="1"/>
    <col min="521" max="521" width="21.140625" style="18" customWidth="1"/>
    <col min="522" max="522" width="11.7109375" style="18" customWidth="1"/>
    <col min="523" max="764" width="11.42578125" style="18"/>
    <col min="765" max="765" width="13.28515625" style="18" customWidth="1"/>
    <col min="766" max="766" width="32.140625" style="18" customWidth="1"/>
    <col min="767" max="767" width="20.7109375" style="18" customWidth="1"/>
    <col min="768" max="768" width="10.42578125" style="18" customWidth="1"/>
    <col min="769" max="769" width="18.5703125" style="18" customWidth="1"/>
    <col min="770" max="770" width="11.7109375" style="18" customWidth="1"/>
    <col min="771" max="771" width="19.28515625" style="18" customWidth="1"/>
    <col min="772" max="772" width="10.28515625" style="18" customWidth="1"/>
    <col min="773" max="773" width="19.42578125" style="18" customWidth="1"/>
    <col min="774" max="774" width="10.28515625" style="18" customWidth="1"/>
    <col min="775" max="775" width="19.5703125" style="18" customWidth="1"/>
    <col min="776" max="776" width="10.42578125" style="18" customWidth="1"/>
    <col min="777" max="777" width="21.140625" style="18" customWidth="1"/>
    <col min="778" max="778" width="11.7109375" style="18" customWidth="1"/>
    <col min="779" max="1020" width="11.42578125" style="18"/>
    <col min="1021" max="1021" width="13.28515625" style="18" customWidth="1"/>
    <col min="1022" max="1022" width="32.140625" style="18" customWidth="1"/>
    <col min="1023" max="1023" width="20.7109375" style="18" customWidth="1"/>
    <col min="1024" max="1024" width="10.42578125" style="18" customWidth="1"/>
    <col min="1025" max="1025" width="18.5703125" style="18" customWidth="1"/>
    <col min="1026" max="1026" width="11.7109375" style="18" customWidth="1"/>
    <col min="1027" max="1027" width="19.28515625" style="18" customWidth="1"/>
    <col min="1028" max="1028" width="10.28515625" style="18" customWidth="1"/>
    <col min="1029" max="1029" width="19.42578125" style="18" customWidth="1"/>
    <col min="1030" max="1030" width="10.28515625" style="18" customWidth="1"/>
    <col min="1031" max="1031" width="19.5703125" style="18" customWidth="1"/>
    <col min="1032" max="1032" width="10.42578125" style="18" customWidth="1"/>
    <col min="1033" max="1033" width="21.140625" style="18" customWidth="1"/>
    <col min="1034" max="1034" width="11.7109375" style="18" customWidth="1"/>
    <col min="1035" max="1276" width="11.42578125" style="18"/>
    <col min="1277" max="1277" width="13.28515625" style="18" customWidth="1"/>
    <col min="1278" max="1278" width="32.140625" style="18" customWidth="1"/>
    <col min="1279" max="1279" width="20.7109375" style="18" customWidth="1"/>
    <col min="1280" max="1280" width="10.42578125" style="18" customWidth="1"/>
    <col min="1281" max="1281" width="18.5703125" style="18" customWidth="1"/>
    <col min="1282" max="1282" width="11.7109375" style="18" customWidth="1"/>
    <col min="1283" max="1283" width="19.28515625" style="18" customWidth="1"/>
    <col min="1284" max="1284" width="10.28515625" style="18" customWidth="1"/>
    <col min="1285" max="1285" width="19.42578125" style="18" customWidth="1"/>
    <col min="1286" max="1286" width="10.28515625" style="18" customWidth="1"/>
    <col min="1287" max="1287" width="19.5703125" style="18" customWidth="1"/>
    <col min="1288" max="1288" width="10.42578125" style="18" customWidth="1"/>
    <col min="1289" max="1289" width="21.140625" style="18" customWidth="1"/>
    <col min="1290" max="1290" width="11.7109375" style="18" customWidth="1"/>
    <col min="1291" max="1532" width="11.42578125" style="18"/>
    <col min="1533" max="1533" width="13.28515625" style="18" customWidth="1"/>
    <col min="1534" max="1534" width="32.140625" style="18" customWidth="1"/>
    <col min="1535" max="1535" width="20.7109375" style="18" customWidth="1"/>
    <col min="1536" max="1536" width="10.42578125" style="18" customWidth="1"/>
    <col min="1537" max="1537" width="18.5703125" style="18" customWidth="1"/>
    <col min="1538" max="1538" width="11.7109375" style="18" customWidth="1"/>
    <col min="1539" max="1539" width="19.28515625" style="18" customWidth="1"/>
    <col min="1540" max="1540" width="10.28515625" style="18" customWidth="1"/>
    <col min="1541" max="1541" width="19.42578125" style="18" customWidth="1"/>
    <col min="1542" max="1542" width="10.28515625" style="18" customWidth="1"/>
    <col min="1543" max="1543" width="19.5703125" style="18" customWidth="1"/>
    <col min="1544" max="1544" width="10.42578125" style="18" customWidth="1"/>
    <col min="1545" max="1545" width="21.140625" style="18" customWidth="1"/>
    <col min="1546" max="1546" width="11.7109375" style="18" customWidth="1"/>
    <col min="1547" max="1788" width="11.42578125" style="18"/>
    <col min="1789" max="1789" width="13.28515625" style="18" customWidth="1"/>
    <col min="1790" max="1790" width="32.140625" style="18" customWidth="1"/>
    <col min="1791" max="1791" width="20.7109375" style="18" customWidth="1"/>
    <col min="1792" max="1792" width="10.42578125" style="18" customWidth="1"/>
    <col min="1793" max="1793" width="18.5703125" style="18" customWidth="1"/>
    <col min="1794" max="1794" width="11.7109375" style="18" customWidth="1"/>
    <col min="1795" max="1795" width="19.28515625" style="18" customWidth="1"/>
    <col min="1796" max="1796" width="10.28515625" style="18" customWidth="1"/>
    <col min="1797" max="1797" width="19.42578125" style="18" customWidth="1"/>
    <col min="1798" max="1798" width="10.28515625" style="18" customWidth="1"/>
    <col min="1799" max="1799" width="19.5703125" style="18" customWidth="1"/>
    <col min="1800" max="1800" width="10.42578125" style="18" customWidth="1"/>
    <col min="1801" max="1801" width="21.140625" style="18" customWidth="1"/>
    <col min="1802" max="1802" width="11.7109375" style="18" customWidth="1"/>
    <col min="1803" max="2044" width="11.42578125" style="18"/>
    <col min="2045" max="2045" width="13.28515625" style="18" customWidth="1"/>
    <col min="2046" max="2046" width="32.140625" style="18" customWidth="1"/>
    <col min="2047" max="2047" width="20.7109375" style="18" customWidth="1"/>
    <col min="2048" max="2048" width="10.42578125" style="18" customWidth="1"/>
    <col min="2049" max="2049" width="18.5703125" style="18" customWidth="1"/>
    <col min="2050" max="2050" width="11.7109375" style="18" customWidth="1"/>
    <col min="2051" max="2051" width="19.28515625" style="18" customWidth="1"/>
    <col min="2052" max="2052" width="10.28515625" style="18" customWidth="1"/>
    <col min="2053" max="2053" width="19.42578125" style="18" customWidth="1"/>
    <col min="2054" max="2054" width="10.28515625" style="18" customWidth="1"/>
    <col min="2055" max="2055" width="19.5703125" style="18" customWidth="1"/>
    <col min="2056" max="2056" width="10.42578125" style="18" customWidth="1"/>
    <col min="2057" max="2057" width="21.140625" style="18" customWidth="1"/>
    <col min="2058" max="2058" width="11.7109375" style="18" customWidth="1"/>
    <col min="2059" max="2300" width="11.42578125" style="18"/>
    <col min="2301" max="2301" width="13.28515625" style="18" customWidth="1"/>
    <col min="2302" max="2302" width="32.140625" style="18" customWidth="1"/>
    <col min="2303" max="2303" width="20.7109375" style="18" customWidth="1"/>
    <col min="2304" max="2304" width="10.42578125" style="18" customWidth="1"/>
    <col min="2305" max="2305" width="18.5703125" style="18" customWidth="1"/>
    <col min="2306" max="2306" width="11.7109375" style="18" customWidth="1"/>
    <col min="2307" max="2307" width="19.28515625" style="18" customWidth="1"/>
    <col min="2308" max="2308" width="10.28515625" style="18" customWidth="1"/>
    <col min="2309" max="2309" width="19.42578125" style="18" customWidth="1"/>
    <col min="2310" max="2310" width="10.28515625" style="18" customWidth="1"/>
    <col min="2311" max="2311" width="19.5703125" style="18" customWidth="1"/>
    <col min="2312" max="2312" width="10.42578125" style="18" customWidth="1"/>
    <col min="2313" max="2313" width="21.140625" style="18" customWidth="1"/>
    <col min="2314" max="2314" width="11.7109375" style="18" customWidth="1"/>
    <col min="2315" max="2556" width="11.42578125" style="18"/>
    <col min="2557" max="2557" width="13.28515625" style="18" customWidth="1"/>
    <col min="2558" max="2558" width="32.140625" style="18" customWidth="1"/>
    <col min="2559" max="2559" width="20.7109375" style="18" customWidth="1"/>
    <col min="2560" max="2560" width="10.42578125" style="18" customWidth="1"/>
    <col min="2561" max="2561" width="18.5703125" style="18" customWidth="1"/>
    <col min="2562" max="2562" width="11.7109375" style="18" customWidth="1"/>
    <col min="2563" max="2563" width="19.28515625" style="18" customWidth="1"/>
    <col min="2564" max="2564" width="10.28515625" style="18" customWidth="1"/>
    <col min="2565" max="2565" width="19.42578125" style="18" customWidth="1"/>
    <col min="2566" max="2566" width="10.28515625" style="18" customWidth="1"/>
    <col min="2567" max="2567" width="19.5703125" style="18" customWidth="1"/>
    <col min="2568" max="2568" width="10.42578125" style="18" customWidth="1"/>
    <col min="2569" max="2569" width="21.140625" style="18" customWidth="1"/>
    <col min="2570" max="2570" width="11.7109375" style="18" customWidth="1"/>
    <col min="2571" max="2812" width="11.42578125" style="18"/>
    <col min="2813" max="2813" width="13.28515625" style="18" customWidth="1"/>
    <col min="2814" max="2814" width="32.140625" style="18" customWidth="1"/>
    <col min="2815" max="2815" width="20.7109375" style="18" customWidth="1"/>
    <col min="2816" max="2816" width="10.42578125" style="18" customWidth="1"/>
    <col min="2817" max="2817" width="18.5703125" style="18" customWidth="1"/>
    <col min="2818" max="2818" width="11.7109375" style="18" customWidth="1"/>
    <col min="2819" max="2819" width="19.28515625" style="18" customWidth="1"/>
    <col min="2820" max="2820" width="10.28515625" style="18" customWidth="1"/>
    <col min="2821" max="2821" width="19.42578125" style="18" customWidth="1"/>
    <col min="2822" max="2822" width="10.28515625" style="18" customWidth="1"/>
    <col min="2823" max="2823" width="19.5703125" style="18" customWidth="1"/>
    <col min="2824" max="2824" width="10.42578125" style="18" customWidth="1"/>
    <col min="2825" max="2825" width="21.140625" style="18" customWidth="1"/>
    <col min="2826" max="2826" width="11.7109375" style="18" customWidth="1"/>
    <col min="2827" max="3068" width="11.42578125" style="18"/>
    <col min="3069" max="3069" width="13.28515625" style="18" customWidth="1"/>
    <col min="3070" max="3070" width="32.140625" style="18" customWidth="1"/>
    <col min="3071" max="3071" width="20.7109375" style="18" customWidth="1"/>
    <col min="3072" max="3072" width="10.42578125" style="18" customWidth="1"/>
    <col min="3073" max="3073" width="18.5703125" style="18" customWidth="1"/>
    <col min="3074" max="3074" width="11.7109375" style="18" customWidth="1"/>
    <col min="3075" max="3075" width="19.28515625" style="18" customWidth="1"/>
    <col min="3076" max="3076" width="10.28515625" style="18" customWidth="1"/>
    <col min="3077" max="3077" width="19.42578125" style="18" customWidth="1"/>
    <col min="3078" max="3078" width="10.28515625" style="18" customWidth="1"/>
    <col min="3079" max="3079" width="19.5703125" style="18" customWidth="1"/>
    <col min="3080" max="3080" width="10.42578125" style="18" customWidth="1"/>
    <col min="3081" max="3081" width="21.140625" style="18" customWidth="1"/>
    <col min="3082" max="3082" width="11.7109375" style="18" customWidth="1"/>
    <col min="3083" max="3324" width="11.42578125" style="18"/>
    <col min="3325" max="3325" width="13.28515625" style="18" customWidth="1"/>
    <col min="3326" max="3326" width="32.140625" style="18" customWidth="1"/>
    <col min="3327" max="3327" width="20.7109375" style="18" customWidth="1"/>
    <col min="3328" max="3328" width="10.42578125" style="18" customWidth="1"/>
    <col min="3329" max="3329" width="18.5703125" style="18" customWidth="1"/>
    <col min="3330" max="3330" width="11.7109375" style="18" customWidth="1"/>
    <col min="3331" max="3331" width="19.28515625" style="18" customWidth="1"/>
    <col min="3332" max="3332" width="10.28515625" style="18" customWidth="1"/>
    <col min="3333" max="3333" width="19.42578125" style="18" customWidth="1"/>
    <col min="3334" max="3334" width="10.28515625" style="18" customWidth="1"/>
    <col min="3335" max="3335" width="19.5703125" style="18" customWidth="1"/>
    <col min="3336" max="3336" width="10.42578125" style="18" customWidth="1"/>
    <col min="3337" max="3337" width="21.140625" style="18" customWidth="1"/>
    <col min="3338" max="3338" width="11.7109375" style="18" customWidth="1"/>
    <col min="3339" max="3580" width="11.42578125" style="18"/>
    <col min="3581" max="3581" width="13.28515625" style="18" customWidth="1"/>
    <col min="3582" max="3582" width="32.140625" style="18" customWidth="1"/>
    <col min="3583" max="3583" width="20.7109375" style="18" customWidth="1"/>
    <col min="3584" max="3584" width="10.42578125" style="18" customWidth="1"/>
    <col min="3585" max="3585" width="18.5703125" style="18" customWidth="1"/>
    <col min="3586" max="3586" width="11.7109375" style="18" customWidth="1"/>
    <col min="3587" max="3587" width="19.28515625" style="18" customWidth="1"/>
    <col min="3588" max="3588" width="10.28515625" style="18" customWidth="1"/>
    <col min="3589" max="3589" width="19.42578125" style="18" customWidth="1"/>
    <col min="3590" max="3590" width="10.28515625" style="18" customWidth="1"/>
    <col min="3591" max="3591" width="19.5703125" style="18" customWidth="1"/>
    <col min="3592" max="3592" width="10.42578125" style="18" customWidth="1"/>
    <col min="3593" max="3593" width="21.140625" style="18" customWidth="1"/>
    <col min="3594" max="3594" width="11.7109375" style="18" customWidth="1"/>
    <col min="3595" max="3836" width="11.42578125" style="18"/>
    <col min="3837" max="3837" width="13.28515625" style="18" customWidth="1"/>
    <col min="3838" max="3838" width="32.140625" style="18" customWidth="1"/>
    <col min="3839" max="3839" width="20.7109375" style="18" customWidth="1"/>
    <col min="3840" max="3840" width="10.42578125" style="18" customWidth="1"/>
    <col min="3841" max="3841" width="18.5703125" style="18" customWidth="1"/>
    <col min="3842" max="3842" width="11.7109375" style="18" customWidth="1"/>
    <col min="3843" max="3843" width="19.28515625" style="18" customWidth="1"/>
    <col min="3844" max="3844" width="10.28515625" style="18" customWidth="1"/>
    <col min="3845" max="3845" width="19.42578125" style="18" customWidth="1"/>
    <col min="3846" max="3846" width="10.28515625" style="18" customWidth="1"/>
    <col min="3847" max="3847" width="19.5703125" style="18" customWidth="1"/>
    <col min="3848" max="3848" width="10.42578125" style="18" customWidth="1"/>
    <col min="3849" max="3849" width="21.140625" style="18" customWidth="1"/>
    <col min="3850" max="3850" width="11.7109375" style="18" customWidth="1"/>
    <col min="3851" max="4092" width="11.42578125" style="18"/>
    <col min="4093" max="4093" width="13.28515625" style="18" customWidth="1"/>
    <col min="4094" max="4094" width="32.140625" style="18" customWidth="1"/>
    <col min="4095" max="4095" width="20.7109375" style="18" customWidth="1"/>
    <col min="4096" max="4096" width="10.42578125" style="18" customWidth="1"/>
    <col min="4097" max="4097" width="18.5703125" style="18" customWidth="1"/>
    <col min="4098" max="4098" width="11.7109375" style="18" customWidth="1"/>
    <col min="4099" max="4099" width="19.28515625" style="18" customWidth="1"/>
    <col min="4100" max="4100" width="10.28515625" style="18" customWidth="1"/>
    <col min="4101" max="4101" width="19.42578125" style="18" customWidth="1"/>
    <col min="4102" max="4102" width="10.28515625" style="18" customWidth="1"/>
    <col min="4103" max="4103" width="19.5703125" style="18" customWidth="1"/>
    <col min="4104" max="4104" width="10.42578125" style="18" customWidth="1"/>
    <col min="4105" max="4105" width="21.140625" style="18" customWidth="1"/>
    <col min="4106" max="4106" width="11.7109375" style="18" customWidth="1"/>
    <col min="4107" max="4348" width="11.42578125" style="18"/>
    <col min="4349" max="4349" width="13.28515625" style="18" customWidth="1"/>
    <col min="4350" max="4350" width="32.140625" style="18" customWidth="1"/>
    <col min="4351" max="4351" width="20.7109375" style="18" customWidth="1"/>
    <col min="4352" max="4352" width="10.42578125" style="18" customWidth="1"/>
    <col min="4353" max="4353" width="18.5703125" style="18" customWidth="1"/>
    <col min="4354" max="4354" width="11.7109375" style="18" customWidth="1"/>
    <col min="4355" max="4355" width="19.28515625" style="18" customWidth="1"/>
    <col min="4356" max="4356" width="10.28515625" style="18" customWidth="1"/>
    <col min="4357" max="4357" width="19.42578125" style="18" customWidth="1"/>
    <col min="4358" max="4358" width="10.28515625" style="18" customWidth="1"/>
    <col min="4359" max="4359" width="19.5703125" style="18" customWidth="1"/>
    <col min="4360" max="4360" width="10.42578125" style="18" customWidth="1"/>
    <col min="4361" max="4361" width="21.140625" style="18" customWidth="1"/>
    <col min="4362" max="4362" width="11.7109375" style="18" customWidth="1"/>
    <col min="4363" max="4604" width="11.42578125" style="18"/>
    <col min="4605" max="4605" width="13.28515625" style="18" customWidth="1"/>
    <col min="4606" max="4606" width="32.140625" style="18" customWidth="1"/>
    <col min="4607" max="4607" width="20.7109375" style="18" customWidth="1"/>
    <col min="4608" max="4608" width="10.42578125" style="18" customWidth="1"/>
    <col min="4609" max="4609" width="18.5703125" style="18" customWidth="1"/>
    <col min="4610" max="4610" width="11.7109375" style="18" customWidth="1"/>
    <col min="4611" max="4611" width="19.28515625" style="18" customWidth="1"/>
    <col min="4612" max="4612" width="10.28515625" style="18" customWidth="1"/>
    <col min="4613" max="4613" width="19.42578125" style="18" customWidth="1"/>
    <col min="4614" max="4614" width="10.28515625" style="18" customWidth="1"/>
    <col min="4615" max="4615" width="19.5703125" style="18" customWidth="1"/>
    <col min="4616" max="4616" width="10.42578125" style="18" customWidth="1"/>
    <col min="4617" max="4617" width="21.140625" style="18" customWidth="1"/>
    <col min="4618" max="4618" width="11.7109375" style="18" customWidth="1"/>
    <col min="4619" max="4860" width="11.42578125" style="18"/>
    <col min="4861" max="4861" width="13.28515625" style="18" customWidth="1"/>
    <col min="4862" max="4862" width="32.140625" style="18" customWidth="1"/>
    <col min="4863" max="4863" width="20.7109375" style="18" customWidth="1"/>
    <col min="4864" max="4864" width="10.42578125" style="18" customWidth="1"/>
    <col min="4865" max="4865" width="18.5703125" style="18" customWidth="1"/>
    <col min="4866" max="4866" width="11.7109375" style="18" customWidth="1"/>
    <col min="4867" max="4867" width="19.28515625" style="18" customWidth="1"/>
    <col min="4868" max="4868" width="10.28515625" style="18" customWidth="1"/>
    <col min="4869" max="4869" width="19.42578125" style="18" customWidth="1"/>
    <col min="4870" max="4870" width="10.28515625" style="18" customWidth="1"/>
    <col min="4871" max="4871" width="19.5703125" style="18" customWidth="1"/>
    <col min="4872" max="4872" width="10.42578125" style="18" customWidth="1"/>
    <col min="4873" max="4873" width="21.140625" style="18" customWidth="1"/>
    <col min="4874" max="4874" width="11.7109375" style="18" customWidth="1"/>
    <col min="4875" max="5116" width="11.42578125" style="18"/>
    <col min="5117" max="5117" width="13.28515625" style="18" customWidth="1"/>
    <col min="5118" max="5118" width="32.140625" style="18" customWidth="1"/>
    <col min="5119" max="5119" width="20.7109375" style="18" customWidth="1"/>
    <col min="5120" max="5120" width="10.42578125" style="18" customWidth="1"/>
    <col min="5121" max="5121" width="18.5703125" style="18" customWidth="1"/>
    <col min="5122" max="5122" width="11.7109375" style="18" customWidth="1"/>
    <col min="5123" max="5123" width="19.28515625" style="18" customWidth="1"/>
    <col min="5124" max="5124" width="10.28515625" style="18" customWidth="1"/>
    <col min="5125" max="5125" width="19.42578125" style="18" customWidth="1"/>
    <col min="5126" max="5126" width="10.28515625" style="18" customWidth="1"/>
    <col min="5127" max="5127" width="19.5703125" style="18" customWidth="1"/>
    <col min="5128" max="5128" width="10.42578125" style="18" customWidth="1"/>
    <col min="5129" max="5129" width="21.140625" style="18" customWidth="1"/>
    <col min="5130" max="5130" width="11.7109375" style="18" customWidth="1"/>
    <col min="5131" max="5372" width="11.42578125" style="18"/>
    <col min="5373" max="5373" width="13.28515625" style="18" customWidth="1"/>
    <col min="5374" max="5374" width="32.140625" style="18" customWidth="1"/>
    <col min="5375" max="5375" width="20.7109375" style="18" customWidth="1"/>
    <col min="5376" max="5376" width="10.42578125" style="18" customWidth="1"/>
    <col min="5377" max="5377" width="18.5703125" style="18" customWidth="1"/>
    <col min="5378" max="5378" width="11.7109375" style="18" customWidth="1"/>
    <col min="5379" max="5379" width="19.28515625" style="18" customWidth="1"/>
    <col min="5380" max="5380" width="10.28515625" style="18" customWidth="1"/>
    <col min="5381" max="5381" width="19.42578125" style="18" customWidth="1"/>
    <col min="5382" max="5382" width="10.28515625" style="18" customWidth="1"/>
    <col min="5383" max="5383" width="19.5703125" style="18" customWidth="1"/>
    <col min="5384" max="5384" width="10.42578125" style="18" customWidth="1"/>
    <col min="5385" max="5385" width="21.140625" style="18" customWidth="1"/>
    <col min="5386" max="5386" width="11.7109375" style="18" customWidth="1"/>
    <col min="5387" max="5628" width="11.42578125" style="18"/>
    <col min="5629" max="5629" width="13.28515625" style="18" customWidth="1"/>
    <col min="5630" max="5630" width="32.140625" style="18" customWidth="1"/>
    <col min="5631" max="5631" width="20.7109375" style="18" customWidth="1"/>
    <col min="5632" max="5632" width="10.42578125" style="18" customWidth="1"/>
    <col min="5633" max="5633" width="18.5703125" style="18" customWidth="1"/>
    <col min="5634" max="5634" width="11.7109375" style="18" customWidth="1"/>
    <col min="5635" max="5635" width="19.28515625" style="18" customWidth="1"/>
    <col min="5636" max="5636" width="10.28515625" style="18" customWidth="1"/>
    <col min="5637" max="5637" width="19.42578125" style="18" customWidth="1"/>
    <col min="5638" max="5638" width="10.28515625" style="18" customWidth="1"/>
    <col min="5639" max="5639" width="19.5703125" style="18" customWidth="1"/>
    <col min="5640" max="5640" width="10.42578125" style="18" customWidth="1"/>
    <col min="5641" max="5641" width="21.140625" style="18" customWidth="1"/>
    <col min="5642" max="5642" width="11.7109375" style="18" customWidth="1"/>
    <col min="5643" max="5884" width="11.42578125" style="18"/>
    <col min="5885" max="5885" width="13.28515625" style="18" customWidth="1"/>
    <col min="5886" max="5886" width="32.140625" style="18" customWidth="1"/>
    <col min="5887" max="5887" width="20.7109375" style="18" customWidth="1"/>
    <col min="5888" max="5888" width="10.42578125" style="18" customWidth="1"/>
    <col min="5889" max="5889" width="18.5703125" style="18" customWidth="1"/>
    <col min="5890" max="5890" width="11.7109375" style="18" customWidth="1"/>
    <col min="5891" max="5891" width="19.28515625" style="18" customWidth="1"/>
    <col min="5892" max="5892" width="10.28515625" style="18" customWidth="1"/>
    <col min="5893" max="5893" width="19.42578125" style="18" customWidth="1"/>
    <col min="5894" max="5894" width="10.28515625" style="18" customWidth="1"/>
    <col min="5895" max="5895" width="19.5703125" style="18" customWidth="1"/>
    <col min="5896" max="5896" width="10.42578125" style="18" customWidth="1"/>
    <col min="5897" max="5897" width="21.140625" style="18" customWidth="1"/>
    <col min="5898" max="5898" width="11.7109375" style="18" customWidth="1"/>
    <col min="5899" max="6140" width="11.42578125" style="18"/>
    <col min="6141" max="6141" width="13.28515625" style="18" customWidth="1"/>
    <col min="6142" max="6142" width="32.140625" style="18" customWidth="1"/>
    <col min="6143" max="6143" width="20.7109375" style="18" customWidth="1"/>
    <col min="6144" max="6144" width="10.42578125" style="18" customWidth="1"/>
    <col min="6145" max="6145" width="18.5703125" style="18" customWidth="1"/>
    <col min="6146" max="6146" width="11.7109375" style="18" customWidth="1"/>
    <col min="6147" max="6147" width="19.28515625" style="18" customWidth="1"/>
    <col min="6148" max="6148" width="10.28515625" style="18" customWidth="1"/>
    <col min="6149" max="6149" width="19.42578125" style="18" customWidth="1"/>
    <col min="6150" max="6150" width="10.28515625" style="18" customWidth="1"/>
    <col min="6151" max="6151" width="19.5703125" style="18" customWidth="1"/>
    <col min="6152" max="6152" width="10.42578125" style="18" customWidth="1"/>
    <col min="6153" max="6153" width="21.140625" style="18" customWidth="1"/>
    <col min="6154" max="6154" width="11.7109375" style="18" customWidth="1"/>
    <col min="6155" max="6396" width="11.42578125" style="18"/>
    <col min="6397" max="6397" width="13.28515625" style="18" customWidth="1"/>
    <col min="6398" max="6398" width="32.140625" style="18" customWidth="1"/>
    <col min="6399" max="6399" width="20.7109375" style="18" customWidth="1"/>
    <col min="6400" max="6400" width="10.42578125" style="18" customWidth="1"/>
    <col min="6401" max="6401" width="18.5703125" style="18" customWidth="1"/>
    <col min="6402" max="6402" width="11.7109375" style="18" customWidth="1"/>
    <col min="6403" max="6403" width="19.28515625" style="18" customWidth="1"/>
    <col min="6404" max="6404" width="10.28515625" style="18" customWidth="1"/>
    <col min="6405" max="6405" width="19.42578125" style="18" customWidth="1"/>
    <col min="6406" max="6406" width="10.28515625" style="18" customWidth="1"/>
    <col min="6407" max="6407" width="19.5703125" style="18" customWidth="1"/>
    <col min="6408" max="6408" width="10.42578125" style="18" customWidth="1"/>
    <col min="6409" max="6409" width="21.140625" style="18" customWidth="1"/>
    <col min="6410" max="6410" width="11.7109375" style="18" customWidth="1"/>
    <col min="6411" max="6652" width="11.42578125" style="18"/>
    <col min="6653" max="6653" width="13.28515625" style="18" customWidth="1"/>
    <col min="6654" max="6654" width="32.140625" style="18" customWidth="1"/>
    <col min="6655" max="6655" width="20.7109375" style="18" customWidth="1"/>
    <col min="6656" max="6656" width="10.42578125" style="18" customWidth="1"/>
    <col min="6657" max="6657" width="18.5703125" style="18" customWidth="1"/>
    <col min="6658" max="6658" width="11.7109375" style="18" customWidth="1"/>
    <col min="6659" max="6659" width="19.28515625" style="18" customWidth="1"/>
    <col min="6660" max="6660" width="10.28515625" style="18" customWidth="1"/>
    <col min="6661" max="6661" width="19.42578125" style="18" customWidth="1"/>
    <col min="6662" max="6662" width="10.28515625" style="18" customWidth="1"/>
    <col min="6663" max="6663" width="19.5703125" style="18" customWidth="1"/>
    <col min="6664" max="6664" width="10.42578125" style="18" customWidth="1"/>
    <col min="6665" max="6665" width="21.140625" style="18" customWidth="1"/>
    <col min="6666" max="6666" width="11.7109375" style="18" customWidth="1"/>
    <col min="6667" max="6908" width="11.42578125" style="18"/>
    <col min="6909" max="6909" width="13.28515625" style="18" customWidth="1"/>
    <col min="6910" max="6910" width="32.140625" style="18" customWidth="1"/>
    <col min="6911" max="6911" width="20.7109375" style="18" customWidth="1"/>
    <col min="6912" max="6912" width="10.42578125" style="18" customWidth="1"/>
    <col min="6913" max="6913" width="18.5703125" style="18" customWidth="1"/>
    <col min="6914" max="6914" width="11.7109375" style="18" customWidth="1"/>
    <col min="6915" max="6915" width="19.28515625" style="18" customWidth="1"/>
    <col min="6916" max="6916" width="10.28515625" style="18" customWidth="1"/>
    <col min="6917" max="6917" width="19.42578125" style="18" customWidth="1"/>
    <col min="6918" max="6918" width="10.28515625" style="18" customWidth="1"/>
    <col min="6919" max="6919" width="19.5703125" style="18" customWidth="1"/>
    <col min="6920" max="6920" width="10.42578125" style="18" customWidth="1"/>
    <col min="6921" max="6921" width="21.140625" style="18" customWidth="1"/>
    <col min="6922" max="6922" width="11.7109375" style="18" customWidth="1"/>
    <col min="6923" max="7164" width="11.42578125" style="18"/>
    <col min="7165" max="7165" width="13.28515625" style="18" customWidth="1"/>
    <col min="7166" max="7166" width="32.140625" style="18" customWidth="1"/>
    <col min="7167" max="7167" width="20.7109375" style="18" customWidth="1"/>
    <col min="7168" max="7168" width="10.42578125" style="18" customWidth="1"/>
    <col min="7169" max="7169" width="18.5703125" style="18" customWidth="1"/>
    <col min="7170" max="7170" width="11.7109375" style="18" customWidth="1"/>
    <col min="7171" max="7171" width="19.28515625" style="18" customWidth="1"/>
    <col min="7172" max="7172" width="10.28515625" style="18" customWidth="1"/>
    <col min="7173" max="7173" width="19.42578125" style="18" customWidth="1"/>
    <col min="7174" max="7174" width="10.28515625" style="18" customWidth="1"/>
    <col min="7175" max="7175" width="19.5703125" style="18" customWidth="1"/>
    <col min="7176" max="7176" width="10.42578125" style="18" customWidth="1"/>
    <col min="7177" max="7177" width="21.140625" style="18" customWidth="1"/>
    <col min="7178" max="7178" width="11.7109375" style="18" customWidth="1"/>
    <col min="7179" max="7420" width="11.42578125" style="18"/>
    <col min="7421" max="7421" width="13.28515625" style="18" customWidth="1"/>
    <col min="7422" max="7422" width="32.140625" style="18" customWidth="1"/>
    <col min="7423" max="7423" width="20.7109375" style="18" customWidth="1"/>
    <col min="7424" max="7424" width="10.42578125" style="18" customWidth="1"/>
    <col min="7425" max="7425" width="18.5703125" style="18" customWidth="1"/>
    <col min="7426" max="7426" width="11.7109375" style="18" customWidth="1"/>
    <col min="7427" max="7427" width="19.28515625" style="18" customWidth="1"/>
    <col min="7428" max="7428" width="10.28515625" style="18" customWidth="1"/>
    <col min="7429" max="7429" width="19.42578125" style="18" customWidth="1"/>
    <col min="7430" max="7430" width="10.28515625" style="18" customWidth="1"/>
    <col min="7431" max="7431" width="19.5703125" style="18" customWidth="1"/>
    <col min="7432" max="7432" width="10.42578125" style="18" customWidth="1"/>
    <col min="7433" max="7433" width="21.140625" style="18" customWidth="1"/>
    <col min="7434" max="7434" width="11.7109375" style="18" customWidth="1"/>
    <col min="7435" max="7676" width="11.42578125" style="18"/>
    <col min="7677" max="7677" width="13.28515625" style="18" customWidth="1"/>
    <col min="7678" max="7678" width="32.140625" style="18" customWidth="1"/>
    <col min="7679" max="7679" width="20.7109375" style="18" customWidth="1"/>
    <col min="7680" max="7680" width="10.42578125" style="18" customWidth="1"/>
    <col min="7681" max="7681" width="18.5703125" style="18" customWidth="1"/>
    <col min="7682" max="7682" width="11.7109375" style="18" customWidth="1"/>
    <col min="7683" max="7683" width="19.28515625" style="18" customWidth="1"/>
    <col min="7684" max="7684" width="10.28515625" style="18" customWidth="1"/>
    <col min="7685" max="7685" width="19.42578125" style="18" customWidth="1"/>
    <col min="7686" max="7686" width="10.28515625" style="18" customWidth="1"/>
    <col min="7687" max="7687" width="19.5703125" style="18" customWidth="1"/>
    <col min="7688" max="7688" width="10.42578125" style="18" customWidth="1"/>
    <col min="7689" max="7689" width="21.140625" style="18" customWidth="1"/>
    <col min="7690" max="7690" width="11.7109375" style="18" customWidth="1"/>
    <col min="7691" max="7932" width="11.42578125" style="18"/>
    <col min="7933" max="7933" width="13.28515625" style="18" customWidth="1"/>
    <col min="7934" max="7934" width="32.140625" style="18" customWidth="1"/>
    <col min="7935" max="7935" width="20.7109375" style="18" customWidth="1"/>
    <col min="7936" max="7936" width="10.42578125" style="18" customWidth="1"/>
    <col min="7937" max="7937" width="18.5703125" style="18" customWidth="1"/>
    <col min="7938" max="7938" width="11.7109375" style="18" customWidth="1"/>
    <col min="7939" max="7939" width="19.28515625" style="18" customWidth="1"/>
    <col min="7940" max="7940" width="10.28515625" style="18" customWidth="1"/>
    <col min="7941" max="7941" width="19.42578125" style="18" customWidth="1"/>
    <col min="7942" max="7942" width="10.28515625" style="18" customWidth="1"/>
    <col min="7943" max="7943" width="19.5703125" style="18" customWidth="1"/>
    <col min="7944" max="7944" width="10.42578125" style="18" customWidth="1"/>
    <col min="7945" max="7945" width="21.140625" style="18" customWidth="1"/>
    <col min="7946" max="7946" width="11.7109375" style="18" customWidth="1"/>
    <col min="7947" max="8188" width="11.42578125" style="18"/>
    <col min="8189" max="8189" width="13.28515625" style="18" customWidth="1"/>
    <col min="8190" max="8190" width="32.140625" style="18" customWidth="1"/>
    <col min="8191" max="8191" width="20.7109375" style="18" customWidth="1"/>
    <col min="8192" max="8192" width="10.42578125" style="18" customWidth="1"/>
    <col min="8193" max="8193" width="18.5703125" style="18" customWidth="1"/>
    <col min="8194" max="8194" width="11.7109375" style="18" customWidth="1"/>
    <col min="8195" max="8195" width="19.28515625" style="18" customWidth="1"/>
    <col min="8196" max="8196" width="10.28515625" style="18" customWidth="1"/>
    <col min="8197" max="8197" width="19.42578125" style="18" customWidth="1"/>
    <col min="8198" max="8198" width="10.28515625" style="18" customWidth="1"/>
    <col min="8199" max="8199" width="19.5703125" style="18" customWidth="1"/>
    <col min="8200" max="8200" width="10.42578125" style="18" customWidth="1"/>
    <col min="8201" max="8201" width="21.140625" style="18" customWidth="1"/>
    <col min="8202" max="8202" width="11.7109375" style="18" customWidth="1"/>
    <col min="8203" max="8444" width="11.42578125" style="18"/>
    <col min="8445" max="8445" width="13.28515625" style="18" customWidth="1"/>
    <col min="8446" max="8446" width="32.140625" style="18" customWidth="1"/>
    <col min="8447" max="8447" width="20.7109375" style="18" customWidth="1"/>
    <col min="8448" max="8448" width="10.42578125" style="18" customWidth="1"/>
    <col min="8449" max="8449" width="18.5703125" style="18" customWidth="1"/>
    <col min="8450" max="8450" width="11.7109375" style="18" customWidth="1"/>
    <col min="8451" max="8451" width="19.28515625" style="18" customWidth="1"/>
    <col min="8452" max="8452" width="10.28515625" style="18" customWidth="1"/>
    <col min="8453" max="8453" width="19.42578125" style="18" customWidth="1"/>
    <col min="8454" max="8454" width="10.28515625" style="18" customWidth="1"/>
    <col min="8455" max="8455" width="19.5703125" style="18" customWidth="1"/>
    <col min="8456" max="8456" width="10.42578125" style="18" customWidth="1"/>
    <col min="8457" max="8457" width="21.140625" style="18" customWidth="1"/>
    <col min="8458" max="8458" width="11.7109375" style="18" customWidth="1"/>
    <col min="8459" max="8700" width="11.42578125" style="18"/>
    <col min="8701" max="8701" width="13.28515625" style="18" customWidth="1"/>
    <col min="8702" max="8702" width="32.140625" style="18" customWidth="1"/>
    <col min="8703" max="8703" width="20.7109375" style="18" customWidth="1"/>
    <col min="8704" max="8704" width="10.42578125" style="18" customWidth="1"/>
    <col min="8705" max="8705" width="18.5703125" style="18" customWidth="1"/>
    <col min="8706" max="8706" width="11.7109375" style="18" customWidth="1"/>
    <col min="8707" max="8707" width="19.28515625" style="18" customWidth="1"/>
    <col min="8708" max="8708" width="10.28515625" style="18" customWidth="1"/>
    <col min="8709" max="8709" width="19.42578125" style="18" customWidth="1"/>
    <col min="8710" max="8710" width="10.28515625" style="18" customWidth="1"/>
    <col min="8711" max="8711" width="19.5703125" style="18" customWidth="1"/>
    <col min="8712" max="8712" width="10.42578125" style="18" customWidth="1"/>
    <col min="8713" max="8713" width="21.140625" style="18" customWidth="1"/>
    <col min="8714" max="8714" width="11.7109375" style="18" customWidth="1"/>
    <col min="8715" max="8956" width="11.42578125" style="18"/>
    <col min="8957" max="8957" width="13.28515625" style="18" customWidth="1"/>
    <col min="8958" max="8958" width="32.140625" style="18" customWidth="1"/>
    <col min="8959" max="8959" width="20.7109375" style="18" customWidth="1"/>
    <col min="8960" max="8960" width="10.42578125" style="18" customWidth="1"/>
    <col min="8961" max="8961" width="18.5703125" style="18" customWidth="1"/>
    <col min="8962" max="8962" width="11.7109375" style="18" customWidth="1"/>
    <col min="8963" max="8963" width="19.28515625" style="18" customWidth="1"/>
    <col min="8964" max="8964" width="10.28515625" style="18" customWidth="1"/>
    <col min="8965" max="8965" width="19.42578125" style="18" customWidth="1"/>
    <col min="8966" max="8966" width="10.28515625" style="18" customWidth="1"/>
    <col min="8967" max="8967" width="19.5703125" style="18" customWidth="1"/>
    <col min="8968" max="8968" width="10.42578125" style="18" customWidth="1"/>
    <col min="8969" max="8969" width="21.140625" style="18" customWidth="1"/>
    <col min="8970" max="8970" width="11.7109375" style="18" customWidth="1"/>
    <col min="8971" max="9212" width="11.42578125" style="18"/>
    <col min="9213" max="9213" width="13.28515625" style="18" customWidth="1"/>
    <col min="9214" max="9214" width="32.140625" style="18" customWidth="1"/>
    <col min="9215" max="9215" width="20.7109375" style="18" customWidth="1"/>
    <col min="9216" max="9216" width="10.42578125" style="18" customWidth="1"/>
    <col min="9217" max="9217" width="18.5703125" style="18" customWidth="1"/>
    <col min="9218" max="9218" width="11.7109375" style="18" customWidth="1"/>
    <col min="9219" max="9219" width="19.28515625" style="18" customWidth="1"/>
    <col min="9220" max="9220" width="10.28515625" style="18" customWidth="1"/>
    <col min="9221" max="9221" width="19.42578125" style="18" customWidth="1"/>
    <col min="9222" max="9222" width="10.28515625" style="18" customWidth="1"/>
    <col min="9223" max="9223" width="19.5703125" style="18" customWidth="1"/>
    <col min="9224" max="9224" width="10.42578125" style="18" customWidth="1"/>
    <col min="9225" max="9225" width="21.140625" style="18" customWidth="1"/>
    <col min="9226" max="9226" width="11.7109375" style="18" customWidth="1"/>
    <col min="9227" max="9468" width="11.42578125" style="18"/>
    <col min="9469" max="9469" width="13.28515625" style="18" customWidth="1"/>
    <col min="9470" max="9470" width="32.140625" style="18" customWidth="1"/>
    <col min="9471" max="9471" width="20.7109375" style="18" customWidth="1"/>
    <col min="9472" max="9472" width="10.42578125" style="18" customWidth="1"/>
    <col min="9473" max="9473" width="18.5703125" style="18" customWidth="1"/>
    <col min="9474" max="9474" width="11.7109375" style="18" customWidth="1"/>
    <col min="9475" max="9475" width="19.28515625" style="18" customWidth="1"/>
    <col min="9476" max="9476" width="10.28515625" style="18" customWidth="1"/>
    <col min="9477" max="9477" width="19.42578125" style="18" customWidth="1"/>
    <col min="9478" max="9478" width="10.28515625" style="18" customWidth="1"/>
    <col min="9479" max="9479" width="19.5703125" style="18" customWidth="1"/>
    <col min="9480" max="9480" width="10.42578125" style="18" customWidth="1"/>
    <col min="9481" max="9481" width="21.140625" style="18" customWidth="1"/>
    <col min="9482" max="9482" width="11.7109375" style="18" customWidth="1"/>
    <col min="9483" max="9724" width="11.42578125" style="18"/>
    <col min="9725" max="9725" width="13.28515625" style="18" customWidth="1"/>
    <col min="9726" max="9726" width="32.140625" style="18" customWidth="1"/>
    <col min="9727" max="9727" width="20.7109375" style="18" customWidth="1"/>
    <col min="9728" max="9728" width="10.42578125" style="18" customWidth="1"/>
    <col min="9729" max="9729" width="18.5703125" style="18" customWidth="1"/>
    <col min="9730" max="9730" width="11.7109375" style="18" customWidth="1"/>
    <col min="9731" max="9731" width="19.28515625" style="18" customWidth="1"/>
    <col min="9732" max="9732" width="10.28515625" style="18" customWidth="1"/>
    <col min="9733" max="9733" width="19.42578125" style="18" customWidth="1"/>
    <col min="9734" max="9734" width="10.28515625" style="18" customWidth="1"/>
    <col min="9735" max="9735" width="19.5703125" style="18" customWidth="1"/>
    <col min="9736" max="9736" width="10.42578125" style="18" customWidth="1"/>
    <col min="9737" max="9737" width="21.140625" style="18" customWidth="1"/>
    <col min="9738" max="9738" width="11.7109375" style="18" customWidth="1"/>
    <col min="9739" max="9980" width="11.42578125" style="18"/>
    <col min="9981" max="9981" width="13.28515625" style="18" customWidth="1"/>
    <col min="9982" max="9982" width="32.140625" style="18" customWidth="1"/>
    <col min="9983" max="9983" width="20.7109375" style="18" customWidth="1"/>
    <col min="9984" max="9984" width="10.42578125" style="18" customWidth="1"/>
    <col min="9985" max="9985" width="18.5703125" style="18" customWidth="1"/>
    <col min="9986" max="9986" width="11.7109375" style="18" customWidth="1"/>
    <col min="9987" max="9987" width="19.28515625" style="18" customWidth="1"/>
    <col min="9988" max="9988" width="10.28515625" style="18" customWidth="1"/>
    <col min="9989" max="9989" width="19.42578125" style="18" customWidth="1"/>
    <col min="9990" max="9990" width="10.28515625" style="18" customWidth="1"/>
    <col min="9991" max="9991" width="19.5703125" style="18" customWidth="1"/>
    <col min="9992" max="9992" width="10.42578125" style="18" customWidth="1"/>
    <col min="9993" max="9993" width="21.140625" style="18" customWidth="1"/>
    <col min="9994" max="9994" width="11.7109375" style="18" customWidth="1"/>
    <col min="9995" max="10236" width="11.42578125" style="18"/>
    <col min="10237" max="10237" width="13.28515625" style="18" customWidth="1"/>
    <col min="10238" max="10238" width="32.140625" style="18" customWidth="1"/>
    <col min="10239" max="10239" width="20.7109375" style="18" customWidth="1"/>
    <col min="10240" max="10240" width="10.42578125" style="18" customWidth="1"/>
    <col min="10241" max="10241" width="18.5703125" style="18" customWidth="1"/>
    <col min="10242" max="10242" width="11.7109375" style="18" customWidth="1"/>
    <col min="10243" max="10243" width="19.28515625" style="18" customWidth="1"/>
    <col min="10244" max="10244" width="10.28515625" style="18" customWidth="1"/>
    <col min="10245" max="10245" width="19.42578125" style="18" customWidth="1"/>
    <col min="10246" max="10246" width="10.28515625" style="18" customWidth="1"/>
    <col min="10247" max="10247" width="19.5703125" style="18" customWidth="1"/>
    <col min="10248" max="10248" width="10.42578125" style="18" customWidth="1"/>
    <col min="10249" max="10249" width="21.140625" style="18" customWidth="1"/>
    <col min="10250" max="10250" width="11.7109375" style="18" customWidth="1"/>
    <col min="10251" max="10492" width="11.42578125" style="18"/>
    <col min="10493" max="10493" width="13.28515625" style="18" customWidth="1"/>
    <col min="10494" max="10494" width="32.140625" style="18" customWidth="1"/>
    <col min="10495" max="10495" width="20.7109375" style="18" customWidth="1"/>
    <col min="10496" max="10496" width="10.42578125" style="18" customWidth="1"/>
    <col min="10497" max="10497" width="18.5703125" style="18" customWidth="1"/>
    <col min="10498" max="10498" width="11.7109375" style="18" customWidth="1"/>
    <col min="10499" max="10499" width="19.28515625" style="18" customWidth="1"/>
    <col min="10500" max="10500" width="10.28515625" style="18" customWidth="1"/>
    <col min="10501" max="10501" width="19.42578125" style="18" customWidth="1"/>
    <col min="10502" max="10502" width="10.28515625" style="18" customWidth="1"/>
    <col min="10503" max="10503" width="19.5703125" style="18" customWidth="1"/>
    <col min="10504" max="10504" width="10.42578125" style="18" customWidth="1"/>
    <col min="10505" max="10505" width="21.140625" style="18" customWidth="1"/>
    <col min="10506" max="10506" width="11.7109375" style="18" customWidth="1"/>
    <col min="10507" max="10748" width="11.42578125" style="18"/>
    <col min="10749" max="10749" width="13.28515625" style="18" customWidth="1"/>
    <col min="10750" max="10750" width="32.140625" style="18" customWidth="1"/>
    <col min="10751" max="10751" width="20.7109375" style="18" customWidth="1"/>
    <col min="10752" max="10752" width="10.42578125" style="18" customWidth="1"/>
    <col min="10753" max="10753" width="18.5703125" style="18" customWidth="1"/>
    <col min="10754" max="10754" width="11.7109375" style="18" customWidth="1"/>
    <col min="10755" max="10755" width="19.28515625" style="18" customWidth="1"/>
    <col min="10756" max="10756" width="10.28515625" style="18" customWidth="1"/>
    <col min="10757" max="10757" width="19.42578125" style="18" customWidth="1"/>
    <col min="10758" max="10758" width="10.28515625" style="18" customWidth="1"/>
    <col min="10759" max="10759" width="19.5703125" style="18" customWidth="1"/>
    <col min="10760" max="10760" width="10.42578125" style="18" customWidth="1"/>
    <col min="10761" max="10761" width="21.140625" style="18" customWidth="1"/>
    <col min="10762" max="10762" width="11.7109375" style="18" customWidth="1"/>
    <col min="10763" max="11004" width="11.42578125" style="18"/>
    <col min="11005" max="11005" width="13.28515625" style="18" customWidth="1"/>
    <col min="11006" max="11006" width="32.140625" style="18" customWidth="1"/>
    <col min="11007" max="11007" width="20.7109375" style="18" customWidth="1"/>
    <col min="11008" max="11008" width="10.42578125" style="18" customWidth="1"/>
    <col min="11009" max="11009" width="18.5703125" style="18" customWidth="1"/>
    <col min="11010" max="11010" width="11.7109375" style="18" customWidth="1"/>
    <col min="11011" max="11011" width="19.28515625" style="18" customWidth="1"/>
    <col min="11012" max="11012" width="10.28515625" style="18" customWidth="1"/>
    <col min="11013" max="11013" width="19.42578125" style="18" customWidth="1"/>
    <col min="11014" max="11014" width="10.28515625" style="18" customWidth="1"/>
    <col min="11015" max="11015" width="19.5703125" style="18" customWidth="1"/>
    <col min="11016" max="11016" width="10.42578125" style="18" customWidth="1"/>
    <col min="11017" max="11017" width="21.140625" style="18" customWidth="1"/>
    <col min="11018" max="11018" width="11.7109375" style="18" customWidth="1"/>
    <col min="11019" max="11260" width="11.42578125" style="18"/>
    <col min="11261" max="11261" width="13.28515625" style="18" customWidth="1"/>
    <col min="11262" max="11262" width="32.140625" style="18" customWidth="1"/>
    <col min="11263" max="11263" width="20.7109375" style="18" customWidth="1"/>
    <col min="11264" max="11264" width="10.42578125" style="18" customWidth="1"/>
    <col min="11265" max="11265" width="18.5703125" style="18" customWidth="1"/>
    <col min="11266" max="11266" width="11.7109375" style="18" customWidth="1"/>
    <col min="11267" max="11267" width="19.28515625" style="18" customWidth="1"/>
    <col min="11268" max="11268" width="10.28515625" style="18" customWidth="1"/>
    <col min="11269" max="11269" width="19.42578125" style="18" customWidth="1"/>
    <col min="11270" max="11270" width="10.28515625" style="18" customWidth="1"/>
    <col min="11271" max="11271" width="19.5703125" style="18" customWidth="1"/>
    <col min="11272" max="11272" width="10.42578125" style="18" customWidth="1"/>
    <col min="11273" max="11273" width="21.140625" style="18" customWidth="1"/>
    <col min="11274" max="11274" width="11.7109375" style="18" customWidth="1"/>
    <col min="11275" max="11516" width="11.42578125" style="18"/>
    <col min="11517" max="11517" width="13.28515625" style="18" customWidth="1"/>
    <col min="11518" max="11518" width="32.140625" style="18" customWidth="1"/>
    <col min="11519" max="11519" width="20.7109375" style="18" customWidth="1"/>
    <col min="11520" max="11520" width="10.42578125" style="18" customWidth="1"/>
    <col min="11521" max="11521" width="18.5703125" style="18" customWidth="1"/>
    <col min="11522" max="11522" width="11.7109375" style="18" customWidth="1"/>
    <col min="11523" max="11523" width="19.28515625" style="18" customWidth="1"/>
    <col min="11524" max="11524" width="10.28515625" style="18" customWidth="1"/>
    <col min="11525" max="11525" width="19.42578125" style="18" customWidth="1"/>
    <col min="11526" max="11526" width="10.28515625" style="18" customWidth="1"/>
    <col min="11527" max="11527" width="19.5703125" style="18" customWidth="1"/>
    <col min="11528" max="11528" width="10.42578125" style="18" customWidth="1"/>
    <col min="11529" max="11529" width="21.140625" style="18" customWidth="1"/>
    <col min="11530" max="11530" width="11.7109375" style="18" customWidth="1"/>
    <col min="11531" max="11772" width="11.42578125" style="18"/>
    <col min="11773" max="11773" width="13.28515625" style="18" customWidth="1"/>
    <col min="11774" max="11774" width="32.140625" style="18" customWidth="1"/>
    <col min="11775" max="11775" width="20.7109375" style="18" customWidth="1"/>
    <col min="11776" max="11776" width="10.42578125" style="18" customWidth="1"/>
    <col min="11777" max="11777" width="18.5703125" style="18" customWidth="1"/>
    <col min="11778" max="11778" width="11.7109375" style="18" customWidth="1"/>
    <col min="11779" max="11779" width="19.28515625" style="18" customWidth="1"/>
    <col min="11780" max="11780" width="10.28515625" style="18" customWidth="1"/>
    <col min="11781" max="11781" width="19.42578125" style="18" customWidth="1"/>
    <col min="11782" max="11782" width="10.28515625" style="18" customWidth="1"/>
    <col min="11783" max="11783" width="19.5703125" style="18" customWidth="1"/>
    <col min="11784" max="11784" width="10.42578125" style="18" customWidth="1"/>
    <col min="11785" max="11785" width="21.140625" style="18" customWidth="1"/>
    <col min="11786" max="11786" width="11.7109375" style="18" customWidth="1"/>
    <col min="11787" max="12028" width="11.42578125" style="18"/>
    <col min="12029" max="12029" width="13.28515625" style="18" customWidth="1"/>
    <col min="12030" max="12030" width="32.140625" style="18" customWidth="1"/>
    <col min="12031" max="12031" width="20.7109375" style="18" customWidth="1"/>
    <col min="12032" max="12032" width="10.42578125" style="18" customWidth="1"/>
    <col min="12033" max="12033" width="18.5703125" style="18" customWidth="1"/>
    <col min="12034" max="12034" width="11.7109375" style="18" customWidth="1"/>
    <col min="12035" max="12035" width="19.28515625" style="18" customWidth="1"/>
    <col min="12036" max="12036" width="10.28515625" style="18" customWidth="1"/>
    <col min="12037" max="12037" width="19.42578125" style="18" customWidth="1"/>
    <col min="12038" max="12038" width="10.28515625" style="18" customWidth="1"/>
    <col min="12039" max="12039" width="19.5703125" style="18" customWidth="1"/>
    <col min="12040" max="12040" width="10.42578125" style="18" customWidth="1"/>
    <col min="12041" max="12041" width="21.140625" style="18" customWidth="1"/>
    <col min="12042" max="12042" width="11.7109375" style="18" customWidth="1"/>
    <col min="12043" max="12284" width="11.42578125" style="18"/>
    <col min="12285" max="12285" width="13.28515625" style="18" customWidth="1"/>
    <col min="12286" max="12286" width="32.140625" style="18" customWidth="1"/>
    <col min="12287" max="12287" width="20.7109375" style="18" customWidth="1"/>
    <col min="12288" max="12288" width="10.42578125" style="18" customWidth="1"/>
    <col min="12289" max="12289" width="18.5703125" style="18" customWidth="1"/>
    <col min="12290" max="12290" width="11.7109375" style="18" customWidth="1"/>
    <col min="12291" max="12291" width="19.28515625" style="18" customWidth="1"/>
    <col min="12292" max="12292" width="10.28515625" style="18" customWidth="1"/>
    <col min="12293" max="12293" width="19.42578125" style="18" customWidth="1"/>
    <col min="12294" max="12294" width="10.28515625" style="18" customWidth="1"/>
    <col min="12295" max="12295" width="19.5703125" style="18" customWidth="1"/>
    <col min="12296" max="12296" width="10.42578125" style="18" customWidth="1"/>
    <col min="12297" max="12297" width="21.140625" style="18" customWidth="1"/>
    <col min="12298" max="12298" width="11.7109375" style="18" customWidth="1"/>
    <col min="12299" max="12540" width="11.42578125" style="18"/>
    <col min="12541" max="12541" width="13.28515625" style="18" customWidth="1"/>
    <col min="12542" max="12542" width="32.140625" style="18" customWidth="1"/>
    <col min="12543" max="12543" width="20.7109375" style="18" customWidth="1"/>
    <col min="12544" max="12544" width="10.42578125" style="18" customWidth="1"/>
    <col min="12545" max="12545" width="18.5703125" style="18" customWidth="1"/>
    <col min="12546" max="12546" width="11.7109375" style="18" customWidth="1"/>
    <col min="12547" max="12547" width="19.28515625" style="18" customWidth="1"/>
    <col min="12548" max="12548" width="10.28515625" style="18" customWidth="1"/>
    <col min="12549" max="12549" width="19.42578125" style="18" customWidth="1"/>
    <col min="12550" max="12550" width="10.28515625" style="18" customWidth="1"/>
    <col min="12551" max="12551" width="19.5703125" style="18" customWidth="1"/>
    <col min="12552" max="12552" width="10.42578125" style="18" customWidth="1"/>
    <col min="12553" max="12553" width="21.140625" style="18" customWidth="1"/>
    <col min="12554" max="12554" width="11.7109375" style="18" customWidth="1"/>
    <col min="12555" max="12796" width="11.42578125" style="18"/>
    <col min="12797" max="12797" width="13.28515625" style="18" customWidth="1"/>
    <col min="12798" max="12798" width="32.140625" style="18" customWidth="1"/>
    <col min="12799" max="12799" width="20.7109375" style="18" customWidth="1"/>
    <col min="12800" max="12800" width="10.42578125" style="18" customWidth="1"/>
    <col min="12801" max="12801" width="18.5703125" style="18" customWidth="1"/>
    <col min="12802" max="12802" width="11.7109375" style="18" customWidth="1"/>
    <col min="12803" max="12803" width="19.28515625" style="18" customWidth="1"/>
    <col min="12804" max="12804" width="10.28515625" style="18" customWidth="1"/>
    <col min="12805" max="12805" width="19.42578125" style="18" customWidth="1"/>
    <col min="12806" max="12806" width="10.28515625" style="18" customWidth="1"/>
    <col min="12807" max="12807" width="19.5703125" style="18" customWidth="1"/>
    <col min="12808" max="12808" width="10.42578125" style="18" customWidth="1"/>
    <col min="12809" max="12809" width="21.140625" style="18" customWidth="1"/>
    <col min="12810" max="12810" width="11.7109375" style="18" customWidth="1"/>
    <col min="12811" max="13052" width="11.42578125" style="18"/>
    <col min="13053" max="13053" width="13.28515625" style="18" customWidth="1"/>
    <col min="13054" max="13054" width="32.140625" style="18" customWidth="1"/>
    <col min="13055" max="13055" width="20.7109375" style="18" customWidth="1"/>
    <col min="13056" max="13056" width="10.42578125" style="18" customWidth="1"/>
    <col min="13057" max="13057" width="18.5703125" style="18" customWidth="1"/>
    <col min="13058" max="13058" width="11.7109375" style="18" customWidth="1"/>
    <col min="13059" max="13059" width="19.28515625" style="18" customWidth="1"/>
    <col min="13060" max="13060" width="10.28515625" style="18" customWidth="1"/>
    <col min="13061" max="13061" width="19.42578125" style="18" customWidth="1"/>
    <col min="13062" max="13062" width="10.28515625" style="18" customWidth="1"/>
    <col min="13063" max="13063" width="19.5703125" style="18" customWidth="1"/>
    <col min="13064" max="13064" width="10.42578125" style="18" customWidth="1"/>
    <col min="13065" max="13065" width="21.140625" style="18" customWidth="1"/>
    <col min="13066" max="13066" width="11.7109375" style="18" customWidth="1"/>
    <col min="13067" max="13308" width="11.42578125" style="18"/>
    <col min="13309" max="13309" width="13.28515625" style="18" customWidth="1"/>
    <col min="13310" max="13310" width="32.140625" style="18" customWidth="1"/>
    <col min="13311" max="13311" width="20.7109375" style="18" customWidth="1"/>
    <col min="13312" max="13312" width="10.42578125" style="18" customWidth="1"/>
    <col min="13313" max="13313" width="18.5703125" style="18" customWidth="1"/>
    <col min="13314" max="13314" width="11.7109375" style="18" customWidth="1"/>
    <col min="13315" max="13315" width="19.28515625" style="18" customWidth="1"/>
    <col min="13316" max="13316" width="10.28515625" style="18" customWidth="1"/>
    <col min="13317" max="13317" width="19.42578125" style="18" customWidth="1"/>
    <col min="13318" max="13318" width="10.28515625" style="18" customWidth="1"/>
    <col min="13319" max="13319" width="19.5703125" style="18" customWidth="1"/>
    <col min="13320" max="13320" width="10.42578125" style="18" customWidth="1"/>
    <col min="13321" max="13321" width="21.140625" style="18" customWidth="1"/>
    <col min="13322" max="13322" width="11.7109375" style="18" customWidth="1"/>
    <col min="13323" max="13564" width="11.42578125" style="18"/>
    <col min="13565" max="13565" width="13.28515625" style="18" customWidth="1"/>
    <col min="13566" max="13566" width="32.140625" style="18" customWidth="1"/>
    <col min="13567" max="13567" width="20.7109375" style="18" customWidth="1"/>
    <col min="13568" max="13568" width="10.42578125" style="18" customWidth="1"/>
    <col min="13569" max="13569" width="18.5703125" style="18" customWidth="1"/>
    <col min="13570" max="13570" width="11.7109375" style="18" customWidth="1"/>
    <col min="13571" max="13571" width="19.28515625" style="18" customWidth="1"/>
    <col min="13572" max="13572" width="10.28515625" style="18" customWidth="1"/>
    <col min="13573" max="13573" width="19.42578125" style="18" customWidth="1"/>
    <col min="13574" max="13574" width="10.28515625" style="18" customWidth="1"/>
    <col min="13575" max="13575" width="19.5703125" style="18" customWidth="1"/>
    <col min="13576" max="13576" width="10.42578125" style="18" customWidth="1"/>
    <col min="13577" max="13577" width="21.140625" style="18" customWidth="1"/>
    <col min="13578" max="13578" width="11.7109375" style="18" customWidth="1"/>
    <col min="13579" max="13820" width="11.42578125" style="18"/>
    <col min="13821" max="13821" width="13.28515625" style="18" customWidth="1"/>
    <col min="13822" max="13822" width="32.140625" style="18" customWidth="1"/>
    <col min="13823" max="13823" width="20.7109375" style="18" customWidth="1"/>
    <col min="13824" max="13824" width="10.42578125" style="18" customWidth="1"/>
    <col min="13825" max="13825" width="18.5703125" style="18" customWidth="1"/>
    <col min="13826" max="13826" width="11.7109375" style="18" customWidth="1"/>
    <col min="13827" max="13827" width="19.28515625" style="18" customWidth="1"/>
    <col min="13828" max="13828" width="10.28515625" style="18" customWidth="1"/>
    <col min="13829" max="13829" width="19.42578125" style="18" customWidth="1"/>
    <col min="13830" max="13830" width="10.28515625" style="18" customWidth="1"/>
    <col min="13831" max="13831" width="19.5703125" style="18" customWidth="1"/>
    <col min="13832" max="13832" width="10.42578125" style="18" customWidth="1"/>
    <col min="13833" max="13833" width="21.140625" style="18" customWidth="1"/>
    <col min="13834" max="13834" width="11.7109375" style="18" customWidth="1"/>
    <col min="13835" max="14076" width="11.42578125" style="18"/>
    <col min="14077" max="14077" width="13.28515625" style="18" customWidth="1"/>
    <col min="14078" max="14078" width="32.140625" style="18" customWidth="1"/>
    <col min="14079" max="14079" width="20.7109375" style="18" customWidth="1"/>
    <col min="14080" max="14080" width="10.42578125" style="18" customWidth="1"/>
    <col min="14081" max="14081" width="18.5703125" style="18" customWidth="1"/>
    <col min="14082" max="14082" width="11.7109375" style="18" customWidth="1"/>
    <col min="14083" max="14083" width="19.28515625" style="18" customWidth="1"/>
    <col min="14084" max="14084" width="10.28515625" style="18" customWidth="1"/>
    <col min="14085" max="14085" width="19.42578125" style="18" customWidth="1"/>
    <col min="14086" max="14086" width="10.28515625" style="18" customWidth="1"/>
    <col min="14087" max="14087" width="19.5703125" style="18" customWidth="1"/>
    <col min="14088" max="14088" width="10.42578125" style="18" customWidth="1"/>
    <col min="14089" max="14089" width="21.140625" style="18" customWidth="1"/>
    <col min="14090" max="14090" width="11.7109375" style="18" customWidth="1"/>
    <col min="14091" max="14332" width="11.42578125" style="18"/>
    <col min="14333" max="14333" width="13.28515625" style="18" customWidth="1"/>
    <col min="14334" max="14334" width="32.140625" style="18" customWidth="1"/>
    <col min="14335" max="14335" width="20.7109375" style="18" customWidth="1"/>
    <col min="14336" max="14336" width="10.42578125" style="18" customWidth="1"/>
    <col min="14337" max="14337" width="18.5703125" style="18" customWidth="1"/>
    <col min="14338" max="14338" width="11.7109375" style="18" customWidth="1"/>
    <col min="14339" max="14339" width="19.28515625" style="18" customWidth="1"/>
    <col min="14340" max="14340" width="10.28515625" style="18" customWidth="1"/>
    <col min="14341" max="14341" width="19.42578125" style="18" customWidth="1"/>
    <col min="14342" max="14342" width="10.28515625" style="18" customWidth="1"/>
    <col min="14343" max="14343" width="19.5703125" style="18" customWidth="1"/>
    <col min="14344" max="14344" width="10.42578125" style="18" customWidth="1"/>
    <col min="14345" max="14345" width="21.140625" style="18" customWidth="1"/>
    <col min="14346" max="14346" width="11.7109375" style="18" customWidth="1"/>
    <col min="14347" max="14588" width="11.42578125" style="18"/>
    <col min="14589" max="14589" width="13.28515625" style="18" customWidth="1"/>
    <col min="14590" max="14590" width="32.140625" style="18" customWidth="1"/>
    <col min="14591" max="14591" width="20.7109375" style="18" customWidth="1"/>
    <col min="14592" max="14592" width="10.42578125" style="18" customWidth="1"/>
    <col min="14593" max="14593" width="18.5703125" style="18" customWidth="1"/>
    <col min="14594" max="14594" width="11.7109375" style="18" customWidth="1"/>
    <col min="14595" max="14595" width="19.28515625" style="18" customWidth="1"/>
    <col min="14596" max="14596" width="10.28515625" style="18" customWidth="1"/>
    <col min="14597" max="14597" width="19.42578125" style="18" customWidth="1"/>
    <col min="14598" max="14598" width="10.28515625" style="18" customWidth="1"/>
    <col min="14599" max="14599" width="19.5703125" style="18" customWidth="1"/>
    <col min="14600" max="14600" width="10.42578125" style="18" customWidth="1"/>
    <col min="14601" max="14601" width="21.140625" style="18" customWidth="1"/>
    <col min="14602" max="14602" width="11.7109375" style="18" customWidth="1"/>
    <col min="14603" max="14844" width="11.42578125" style="18"/>
    <col min="14845" max="14845" width="13.28515625" style="18" customWidth="1"/>
    <col min="14846" max="14846" width="32.140625" style="18" customWidth="1"/>
    <col min="14847" max="14847" width="20.7109375" style="18" customWidth="1"/>
    <col min="14848" max="14848" width="10.42578125" style="18" customWidth="1"/>
    <col min="14849" max="14849" width="18.5703125" style="18" customWidth="1"/>
    <col min="14850" max="14850" width="11.7109375" style="18" customWidth="1"/>
    <col min="14851" max="14851" width="19.28515625" style="18" customWidth="1"/>
    <col min="14852" max="14852" width="10.28515625" style="18" customWidth="1"/>
    <col min="14853" max="14853" width="19.42578125" style="18" customWidth="1"/>
    <col min="14854" max="14854" width="10.28515625" style="18" customWidth="1"/>
    <col min="14855" max="14855" width="19.5703125" style="18" customWidth="1"/>
    <col min="14856" max="14856" width="10.42578125" style="18" customWidth="1"/>
    <col min="14857" max="14857" width="21.140625" style="18" customWidth="1"/>
    <col min="14858" max="14858" width="11.7109375" style="18" customWidth="1"/>
    <col min="14859" max="15100" width="11.42578125" style="18"/>
    <col min="15101" max="15101" width="13.28515625" style="18" customWidth="1"/>
    <col min="15102" max="15102" width="32.140625" style="18" customWidth="1"/>
    <col min="15103" max="15103" width="20.7109375" style="18" customWidth="1"/>
    <col min="15104" max="15104" width="10.42578125" style="18" customWidth="1"/>
    <col min="15105" max="15105" width="18.5703125" style="18" customWidth="1"/>
    <col min="15106" max="15106" width="11.7109375" style="18" customWidth="1"/>
    <col min="15107" max="15107" width="19.28515625" style="18" customWidth="1"/>
    <col min="15108" max="15108" width="10.28515625" style="18" customWidth="1"/>
    <col min="15109" max="15109" width="19.42578125" style="18" customWidth="1"/>
    <col min="15110" max="15110" width="10.28515625" style="18" customWidth="1"/>
    <col min="15111" max="15111" width="19.5703125" style="18" customWidth="1"/>
    <col min="15112" max="15112" width="10.42578125" style="18" customWidth="1"/>
    <col min="15113" max="15113" width="21.140625" style="18" customWidth="1"/>
    <col min="15114" max="15114" width="11.7109375" style="18" customWidth="1"/>
    <col min="15115" max="15356" width="11.42578125" style="18"/>
    <col min="15357" max="15357" width="13.28515625" style="18" customWidth="1"/>
    <col min="15358" max="15358" width="32.140625" style="18" customWidth="1"/>
    <col min="15359" max="15359" width="20.7109375" style="18" customWidth="1"/>
    <col min="15360" max="15360" width="10.42578125" style="18" customWidth="1"/>
    <col min="15361" max="15361" width="18.5703125" style="18" customWidth="1"/>
    <col min="15362" max="15362" width="11.7109375" style="18" customWidth="1"/>
    <col min="15363" max="15363" width="19.28515625" style="18" customWidth="1"/>
    <col min="15364" max="15364" width="10.28515625" style="18" customWidth="1"/>
    <col min="15365" max="15365" width="19.42578125" style="18" customWidth="1"/>
    <col min="15366" max="15366" width="10.28515625" style="18" customWidth="1"/>
    <col min="15367" max="15367" width="19.5703125" style="18" customWidth="1"/>
    <col min="15368" max="15368" width="10.42578125" style="18" customWidth="1"/>
    <col min="15369" max="15369" width="21.140625" style="18" customWidth="1"/>
    <col min="15370" max="15370" width="11.7109375" style="18" customWidth="1"/>
    <col min="15371" max="15612" width="11.42578125" style="18"/>
    <col min="15613" max="15613" width="13.28515625" style="18" customWidth="1"/>
    <col min="15614" max="15614" width="32.140625" style="18" customWidth="1"/>
    <col min="15615" max="15615" width="20.7109375" style="18" customWidth="1"/>
    <col min="15616" max="15616" width="10.42578125" style="18" customWidth="1"/>
    <col min="15617" max="15617" width="18.5703125" style="18" customWidth="1"/>
    <col min="15618" max="15618" width="11.7109375" style="18" customWidth="1"/>
    <col min="15619" max="15619" width="19.28515625" style="18" customWidth="1"/>
    <col min="15620" max="15620" width="10.28515625" style="18" customWidth="1"/>
    <col min="15621" max="15621" width="19.42578125" style="18" customWidth="1"/>
    <col min="15622" max="15622" width="10.28515625" style="18" customWidth="1"/>
    <col min="15623" max="15623" width="19.5703125" style="18" customWidth="1"/>
    <col min="15624" max="15624" width="10.42578125" style="18" customWidth="1"/>
    <col min="15625" max="15625" width="21.140625" style="18" customWidth="1"/>
    <col min="15626" max="15626" width="11.7109375" style="18" customWidth="1"/>
    <col min="15627" max="15868" width="11.42578125" style="18"/>
    <col min="15869" max="15869" width="13.28515625" style="18" customWidth="1"/>
    <col min="15870" max="15870" width="32.140625" style="18" customWidth="1"/>
    <col min="15871" max="15871" width="20.7109375" style="18" customWidth="1"/>
    <col min="15872" max="15872" width="10.42578125" style="18" customWidth="1"/>
    <col min="15873" max="15873" width="18.5703125" style="18" customWidth="1"/>
    <col min="15874" max="15874" width="11.7109375" style="18" customWidth="1"/>
    <col min="15875" max="15875" width="19.28515625" style="18" customWidth="1"/>
    <col min="15876" max="15876" width="10.28515625" style="18" customWidth="1"/>
    <col min="15877" max="15877" width="19.42578125" style="18" customWidth="1"/>
    <col min="15878" max="15878" width="10.28515625" style="18" customWidth="1"/>
    <col min="15879" max="15879" width="19.5703125" style="18" customWidth="1"/>
    <col min="15880" max="15880" width="10.42578125" style="18" customWidth="1"/>
    <col min="15881" max="15881" width="21.140625" style="18" customWidth="1"/>
    <col min="15882" max="15882" width="11.7109375" style="18" customWidth="1"/>
    <col min="15883" max="16124" width="11.42578125" style="18"/>
    <col min="16125" max="16125" width="13.28515625" style="18" customWidth="1"/>
    <col min="16126" max="16126" width="32.140625" style="18" customWidth="1"/>
    <col min="16127" max="16127" width="20.7109375" style="18" customWidth="1"/>
    <col min="16128" max="16128" width="10.42578125" style="18" customWidth="1"/>
    <col min="16129" max="16129" width="18.5703125" style="18" customWidth="1"/>
    <col min="16130" max="16130" width="11.7109375" style="18" customWidth="1"/>
    <col min="16131" max="16131" width="19.28515625" style="18" customWidth="1"/>
    <col min="16132" max="16132" width="10.28515625" style="18" customWidth="1"/>
    <col min="16133" max="16133" width="19.42578125" style="18" customWidth="1"/>
    <col min="16134" max="16134" width="10.28515625" style="18" customWidth="1"/>
    <col min="16135" max="16135" width="19.5703125" style="18" customWidth="1"/>
    <col min="16136" max="16136" width="10.42578125" style="18" customWidth="1"/>
    <col min="16137" max="16137" width="21.140625" style="18" customWidth="1"/>
    <col min="16138" max="16138" width="11.7109375" style="18" customWidth="1"/>
    <col min="16139" max="16384" width="11.42578125" style="18"/>
  </cols>
  <sheetData>
    <row r="1" spans="1:24" ht="44.25" customHeight="1" x14ac:dyDescent="0.2">
      <c r="A1" s="240" t="s">
        <v>1256</v>
      </c>
      <c r="B1" s="240"/>
      <c r="C1" s="240"/>
      <c r="D1" s="240"/>
      <c r="E1" s="240"/>
      <c r="F1" s="240"/>
      <c r="G1" s="240"/>
      <c r="H1" s="240"/>
      <c r="I1" s="240"/>
      <c r="J1" s="240"/>
      <c r="K1" s="241"/>
      <c r="O1" s="18" t="s">
        <v>1264</v>
      </c>
    </row>
    <row r="2" spans="1:24" ht="50.25" customHeight="1" x14ac:dyDescent="0.2">
      <c r="A2" s="192" t="s">
        <v>1188</v>
      </c>
      <c r="B2" s="193" t="s">
        <v>1200</v>
      </c>
      <c r="C2" s="193" t="s">
        <v>1273</v>
      </c>
      <c r="D2" s="193" t="s">
        <v>1221</v>
      </c>
      <c r="E2" s="193" t="s">
        <v>1273</v>
      </c>
      <c r="F2" s="193" t="s">
        <v>1201</v>
      </c>
      <c r="G2" s="193" t="s">
        <v>1273</v>
      </c>
      <c r="H2" s="193" t="s">
        <v>1222</v>
      </c>
      <c r="I2" s="193" t="s">
        <v>1237</v>
      </c>
      <c r="J2" s="194" t="s">
        <v>1223</v>
      </c>
      <c r="K2" s="193" t="s">
        <v>1261</v>
      </c>
      <c r="O2" s="53" t="s">
        <v>1200</v>
      </c>
      <c r="P2" s="53" t="s">
        <v>1220</v>
      </c>
      <c r="Q2" s="53" t="s">
        <v>1221</v>
      </c>
      <c r="R2" s="53" t="s">
        <v>1260</v>
      </c>
      <c r="S2" s="53" t="s">
        <v>1201</v>
      </c>
      <c r="T2" s="53" t="s">
        <v>1236</v>
      </c>
      <c r="U2" s="53" t="s">
        <v>1222</v>
      </c>
      <c r="V2" s="53" t="s">
        <v>1237</v>
      </c>
      <c r="W2" s="54" t="s">
        <v>1223</v>
      </c>
      <c r="X2" s="53" t="s">
        <v>1261</v>
      </c>
    </row>
    <row r="3" spans="1:24" s="22" customFormat="1" ht="26.25" customHeight="1" x14ac:dyDescent="0.25">
      <c r="A3" s="195" t="s">
        <v>1218</v>
      </c>
      <c r="B3" s="201">
        <f>'FUENTE POR UNIDAD'!B3</f>
        <v>540752326.99000001</v>
      </c>
      <c r="C3" s="19">
        <f>B3/B3</f>
        <v>1</v>
      </c>
      <c r="D3" s="201">
        <v>540626668</v>
      </c>
      <c r="E3" s="20">
        <f>D3/B3</f>
        <v>0.99976762191537949</v>
      </c>
      <c r="F3" s="201">
        <f>'FUENTE POR UNIDAD'!C3</f>
        <v>540626668</v>
      </c>
      <c r="G3" s="145">
        <f>F3/B3</f>
        <v>0.99976762191537949</v>
      </c>
      <c r="H3" s="199">
        <f>'FUENTE POR UNIDAD'!E3</f>
        <v>338950000</v>
      </c>
      <c r="I3" s="145">
        <f>H3/B3</f>
        <v>0.62681191200175479</v>
      </c>
      <c r="J3" s="197">
        <f t="shared" ref="J3:J15" si="0">B3-D3</f>
        <v>125658.99000000954</v>
      </c>
      <c r="K3" s="21">
        <f t="shared" ref="K3:K20" si="1">J3/B3</f>
        <v>2.3237808462049081E-4</v>
      </c>
      <c r="O3" s="185">
        <f>B16</f>
        <v>475410619011.22998</v>
      </c>
      <c r="P3" s="186">
        <v>1</v>
      </c>
      <c r="Q3" s="185">
        <f>D16</f>
        <v>373223139523.88</v>
      </c>
      <c r="R3" s="165">
        <f>Q3/O3</f>
        <v>0.78505427644867953</v>
      </c>
      <c r="S3" s="185">
        <f>F16</f>
        <v>330363360985.34998</v>
      </c>
      <c r="T3" s="165">
        <f>S3/O3</f>
        <v>0.69490109764995855</v>
      </c>
      <c r="U3" s="185">
        <f>H16</f>
        <v>294612002646.09003</v>
      </c>
      <c r="V3" s="165">
        <f>U3/O3</f>
        <v>0.61970008843898128</v>
      </c>
      <c r="W3" s="185">
        <f>J16</f>
        <v>102187479487.34995</v>
      </c>
      <c r="X3" s="165">
        <f>W3/O3</f>
        <v>0.21494572355132041</v>
      </c>
    </row>
    <row r="4" spans="1:24" s="22" customFormat="1" ht="26.25" customHeight="1" x14ac:dyDescent="0.25">
      <c r="A4" s="195" t="s">
        <v>1176</v>
      </c>
      <c r="B4" s="201">
        <f>'FUENTE POR UNIDAD'!B5</f>
        <v>1638372589.23</v>
      </c>
      <c r="C4" s="19">
        <f t="shared" ref="C4:C21" si="2">B4/B4</f>
        <v>1</v>
      </c>
      <c r="D4" s="201">
        <v>1604143032</v>
      </c>
      <c r="E4" s="20">
        <f t="shared" ref="E4:E15" si="3">D4/B4</f>
        <v>0.97910758672660214</v>
      </c>
      <c r="F4" s="201">
        <f>'FUENTE POR UNIDAD'!C5</f>
        <v>1572946858</v>
      </c>
      <c r="G4" s="145">
        <f t="shared" ref="G4:G21" si="4">F4/B4</f>
        <v>0.96006663462262343</v>
      </c>
      <c r="H4" s="199">
        <f>'FUENTE POR UNIDAD'!E5</f>
        <v>1044668456</v>
      </c>
      <c r="I4" s="145">
        <f t="shared" ref="I4:I20" si="5">H4/B4</f>
        <v>0.63762569202343145</v>
      </c>
      <c r="J4" s="197">
        <f t="shared" si="0"/>
        <v>34229557.230000019</v>
      </c>
      <c r="K4" s="21">
        <f t="shared" si="1"/>
        <v>2.0892413273397827E-2</v>
      </c>
    </row>
    <row r="5" spans="1:24" s="22" customFormat="1" ht="26.25" customHeight="1" x14ac:dyDescent="0.25">
      <c r="A5" s="195" t="s">
        <v>1219</v>
      </c>
      <c r="B5" s="201">
        <f>'FUENTE POR UNIDAD'!B7</f>
        <v>5094906273.3999996</v>
      </c>
      <c r="C5" s="19">
        <f t="shared" si="2"/>
        <v>1</v>
      </c>
      <c r="D5" s="201">
        <v>4956524802.25</v>
      </c>
      <c r="E5" s="20">
        <f t="shared" si="3"/>
        <v>0.97283925086660072</v>
      </c>
      <c r="F5" s="201">
        <f>'FUENTE POR UNIDAD'!C7</f>
        <v>4186848135.5799999</v>
      </c>
      <c r="G5" s="145">
        <f t="shared" si="4"/>
        <v>0.82177137535171529</v>
      </c>
      <c r="H5" s="199">
        <f>'FUENTE POR UNIDAD'!E7</f>
        <v>3168717985.5999999</v>
      </c>
      <c r="I5" s="145">
        <f t="shared" si="5"/>
        <v>0.62193842547085942</v>
      </c>
      <c r="J5" s="197">
        <f t="shared" si="0"/>
        <v>138381471.14999962</v>
      </c>
      <c r="K5" s="21">
        <f t="shared" si="1"/>
        <v>2.7160749133399286E-2</v>
      </c>
    </row>
    <row r="6" spans="1:24" s="22" customFormat="1" ht="26.25" customHeight="1" x14ac:dyDescent="0.25">
      <c r="A6" s="195" t="s">
        <v>1177</v>
      </c>
      <c r="B6" s="202">
        <f>'FUENTE POR UNIDAD'!B11</f>
        <v>42528517537.059998</v>
      </c>
      <c r="C6" s="19">
        <f t="shared" si="2"/>
        <v>1</v>
      </c>
      <c r="D6" s="201">
        <v>31619911346.209999</v>
      </c>
      <c r="E6" s="20">
        <f t="shared" si="3"/>
        <v>0.74349902553400615</v>
      </c>
      <c r="F6" s="202">
        <f>'FUENTE POR UNIDAD'!C11</f>
        <v>22555338667.43</v>
      </c>
      <c r="G6" s="145">
        <f t="shared" si="4"/>
        <v>0.53035798033107862</v>
      </c>
      <c r="H6" s="199">
        <f>'FUENTE POR UNIDAD'!E11</f>
        <v>14183430408.349998</v>
      </c>
      <c r="I6" s="145">
        <f t="shared" si="5"/>
        <v>0.33350399284410376</v>
      </c>
      <c r="J6" s="197">
        <f t="shared" si="0"/>
        <v>10908606190.849998</v>
      </c>
      <c r="K6" s="21">
        <f t="shared" si="1"/>
        <v>0.25650097446599385</v>
      </c>
    </row>
    <row r="7" spans="1:24" s="22" customFormat="1" ht="26.25" customHeight="1" x14ac:dyDescent="0.25">
      <c r="A7" s="195" t="s">
        <v>1178</v>
      </c>
      <c r="B7" s="202">
        <f>'FUENTE POR UNIDAD'!B17</f>
        <v>13734254296.9</v>
      </c>
      <c r="C7" s="19">
        <f t="shared" si="2"/>
        <v>1</v>
      </c>
      <c r="D7" s="201">
        <v>10811129576.110001</v>
      </c>
      <c r="E7" s="20">
        <f t="shared" si="3"/>
        <v>0.7871653853496956</v>
      </c>
      <c r="F7" s="202">
        <f>'FUENTE POR UNIDAD'!C17</f>
        <v>4801894135</v>
      </c>
      <c r="G7" s="145">
        <f t="shared" si="4"/>
        <v>0.34962903927618771</v>
      </c>
      <c r="H7" s="199">
        <f>'FUENTE POR UNIDAD'!E17</f>
        <v>3413426874</v>
      </c>
      <c r="I7" s="145">
        <f t="shared" si="5"/>
        <v>0.24853383374228444</v>
      </c>
      <c r="J7" s="197">
        <f t="shared" si="0"/>
        <v>2923124720.789999</v>
      </c>
      <c r="K7" s="21">
        <f t="shared" si="1"/>
        <v>0.21283461465030443</v>
      </c>
    </row>
    <row r="8" spans="1:24" s="22" customFormat="1" ht="26.25" customHeight="1" x14ac:dyDescent="0.25">
      <c r="A8" s="195" t="s">
        <v>123</v>
      </c>
      <c r="B8" s="201">
        <f>'FUENTE POR UNIDAD'!B20</f>
        <v>6175637914.3900003</v>
      </c>
      <c r="C8" s="19">
        <f t="shared" si="2"/>
        <v>1</v>
      </c>
      <c r="D8" s="201">
        <v>5741784852.9499998</v>
      </c>
      <c r="E8" s="20">
        <f t="shared" si="3"/>
        <v>0.92974765239570323</v>
      </c>
      <c r="F8" s="202">
        <f>'FUENTE POR UNIDAD'!C20</f>
        <v>4439294928.9000006</v>
      </c>
      <c r="G8" s="145">
        <f t="shared" si="4"/>
        <v>0.71883989807043158</v>
      </c>
      <c r="H8" s="199">
        <f>'FUENTE POR UNIDAD'!E20</f>
        <v>2860870876.0500002</v>
      </c>
      <c r="I8" s="145">
        <f t="shared" si="5"/>
        <v>0.46325107069244087</v>
      </c>
      <c r="J8" s="197">
        <f t="shared" si="0"/>
        <v>433853061.44000053</v>
      </c>
      <c r="K8" s="21">
        <f t="shared" si="1"/>
        <v>7.0252347604296758E-2</v>
      </c>
    </row>
    <row r="9" spans="1:24" s="22" customFormat="1" ht="36" customHeight="1" x14ac:dyDescent="0.25">
      <c r="A9" s="55" t="s">
        <v>1179</v>
      </c>
      <c r="B9" s="201">
        <f>'FUENTE POR UNIDAD'!B24</f>
        <v>8607618879.0200005</v>
      </c>
      <c r="C9" s="19">
        <f t="shared" si="2"/>
        <v>1</v>
      </c>
      <c r="D9" s="201">
        <v>8326137363</v>
      </c>
      <c r="E9" s="20">
        <f t="shared" si="3"/>
        <v>0.96729856189310648</v>
      </c>
      <c r="F9" s="202">
        <f>'FUENTE POR UNIDAD'!C24</f>
        <v>7915520249</v>
      </c>
      <c r="G9" s="145">
        <f t="shared" si="4"/>
        <v>0.91959464751548137</v>
      </c>
      <c r="H9" s="199">
        <f>'FUENTE POR UNIDAD'!E24</f>
        <v>7504767261.6700001</v>
      </c>
      <c r="I9" s="145">
        <f t="shared" si="5"/>
        <v>0.87187494789783693</v>
      </c>
      <c r="J9" s="197">
        <f t="shared" si="0"/>
        <v>281481516.02000046</v>
      </c>
      <c r="K9" s="21">
        <f t="shared" si="1"/>
        <v>3.2701438106893486E-2</v>
      </c>
    </row>
    <row r="10" spans="1:24" s="22" customFormat="1" ht="50.25" customHeight="1" x14ac:dyDescent="0.25">
      <c r="A10" s="55" t="s">
        <v>1224</v>
      </c>
      <c r="B10" s="201">
        <f>'FUENTE POR UNIDAD'!B27</f>
        <v>6616140695.3199997</v>
      </c>
      <c r="C10" s="19">
        <f t="shared" si="2"/>
        <v>1</v>
      </c>
      <c r="D10" s="201">
        <v>4663047536.9499998</v>
      </c>
      <c r="E10" s="20">
        <f t="shared" si="3"/>
        <v>0.70479872658216869</v>
      </c>
      <c r="F10" s="202">
        <f>'FUENTE POR UNIDAD'!C27</f>
        <v>3212211064.9499998</v>
      </c>
      <c r="G10" s="145">
        <f t="shared" si="4"/>
        <v>0.48551129924159453</v>
      </c>
      <c r="H10" s="199">
        <f>'FUENTE POR UNIDAD'!E27</f>
        <v>2498803659</v>
      </c>
      <c r="I10" s="145">
        <f t="shared" si="5"/>
        <v>0.37768296867803258</v>
      </c>
      <c r="J10" s="197">
        <f t="shared" si="0"/>
        <v>1953093158.3699999</v>
      </c>
      <c r="K10" s="21">
        <f t="shared" si="1"/>
        <v>0.29520127341783131</v>
      </c>
    </row>
    <row r="11" spans="1:24" s="23" customFormat="1" ht="26.25" customHeight="1" x14ac:dyDescent="0.25">
      <c r="A11" s="195" t="s">
        <v>1180</v>
      </c>
      <c r="B11" s="205">
        <f>'FUENTE POR UNIDAD'!B30</f>
        <v>2091395027.28</v>
      </c>
      <c r="C11" s="19">
        <f t="shared" si="2"/>
        <v>1</v>
      </c>
      <c r="D11" s="201">
        <v>2027273804</v>
      </c>
      <c r="E11" s="20">
        <f t="shared" si="3"/>
        <v>0.96934045340855857</v>
      </c>
      <c r="F11" s="202">
        <f>'FUENTE POR UNIDAD'!C30</f>
        <v>2014331638</v>
      </c>
      <c r="G11" s="145">
        <f t="shared" si="4"/>
        <v>0.96315216002964965</v>
      </c>
      <c r="H11" s="199">
        <f>'FUENTE POR UNIDAD'!E30</f>
        <v>1360563139</v>
      </c>
      <c r="I11" s="145">
        <f t="shared" si="5"/>
        <v>0.65055291862747899</v>
      </c>
      <c r="J11" s="197">
        <f t="shared" si="0"/>
        <v>64121223.279999971</v>
      </c>
      <c r="K11" s="21">
        <f t="shared" si="1"/>
        <v>3.0659546591441378E-2</v>
      </c>
    </row>
    <row r="12" spans="1:24" s="23" customFormat="1" ht="26.25" customHeight="1" x14ac:dyDescent="0.25">
      <c r="A12" s="195" t="s">
        <v>113</v>
      </c>
      <c r="B12" s="206">
        <f>'FUENTE POR UNIDAD'!B33</f>
        <v>276340724380.24994</v>
      </c>
      <c r="C12" s="19">
        <f t="shared" si="2"/>
        <v>1</v>
      </c>
      <c r="D12" s="201">
        <v>206989910095.5</v>
      </c>
      <c r="E12" s="20">
        <f t="shared" si="3"/>
        <v>0.74903874758133027</v>
      </c>
      <c r="F12" s="202">
        <f>'FUENTE POR UNIDAD'!C33</f>
        <v>206228135560.27002</v>
      </c>
      <c r="G12" s="145">
        <f t="shared" si="4"/>
        <v>0.74628209802510437</v>
      </c>
      <c r="H12" s="199">
        <f>'FUENTE POR UNIDAD'!E33</f>
        <v>200014001209.20999</v>
      </c>
      <c r="I12" s="145">
        <f t="shared" si="5"/>
        <v>0.72379487915790153</v>
      </c>
      <c r="J12" s="197">
        <f t="shared" si="0"/>
        <v>69350814284.749939</v>
      </c>
      <c r="K12" s="21">
        <f t="shared" si="1"/>
        <v>0.25096125241866973</v>
      </c>
    </row>
    <row r="13" spans="1:24" s="22" customFormat="1" ht="26.25" customHeight="1" x14ac:dyDescent="0.25">
      <c r="A13" s="195" t="s">
        <v>1181</v>
      </c>
      <c r="B13" s="205">
        <f>'FUENTE POR UNIDAD'!B39</f>
        <v>12041207464.6</v>
      </c>
      <c r="C13" s="19">
        <f t="shared" si="2"/>
        <v>1</v>
      </c>
      <c r="D13" s="201">
        <v>10961646037.879999</v>
      </c>
      <c r="E13" s="20">
        <f t="shared" si="3"/>
        <v>0.91034442103137836</v>
      </c>
      <c r="F13" s="202">
        <f>'FUENTE POR UNIDAD'!C39</f>
        <v>10060741494.189999</v>
      </c>
      <c r="G13" s="145">
        <f t="shared" si="4"/>
        <v>0.83552596562824932</v>
      </c>
      <c r="H13" s="199">
        <f>'FUENTE POR UNIDAD'!E39</f>
        <v>9561385867.4799995</v>
      </c>
      <c r="I13" s="145">
        <f t="shared" si="5"/>
        <v>0.79405540479138492</v>
      </c>
      <c r="J13" s="197">
        <f t="shared" si="0"/>
        <v>1079561426.7200012</v>
      </c>
      <c r="K13" s="21">
        <f t="shared" si="1"/>
        <v>8.9655578968621599E-2</v>
      </c>
    </row>
    <row r="14" spans="1:24" s="22" customFormat="1" ht="26.25" customHeight="1" x14ac:dyDescent="0.25">
      <c r="A14" s="195" t="s">
        <v>1182</v>
      </c>
      <c r="B14" s="201">
        <f>'FUENTE POR UNIDAD'!B43</f>
        <v>77717604758.01001</v>
      </c>
      <c r="C14" s="19">
        <f t="shared" si="2"/>
        <v>1</v>
      </c>
      <c r="D14" s="201">
        <v>62752971883.029999</v>
      </c>
      <c r="E14" s="20">
        <f t="shared" si="3"/>
        <v>0.80744860933921569</v>
      </c>
      <c r="F14" s="202">
        <f>'FUENTE POR UNIDAD'!C43</f>
        <v>61611547267.029999</v>
      </c>
      <c r="G14" s="145">
        <f t="shared" si="4"/>
        <v>0.79276178748522186</v>
      </c>
      <c r="H14" s="199">
        <f>'FUENTE POR UNIDAD'!E43</f>
        <v>47687698577.729988</v>
      </c>
      <c r="I14" s="145">
        <f t="shared" si="5"/>
        <v>0.61360226844632682</v>
      </c>
      <c r="J14" s="197">
        <f t="shared" si="0"/>
        <v>14964632874.980011</v>
      </c>
      <c r="K14" s="21">
        <f t="shared" si="1"/>
        <v>0.19255139066078425</v>
      </c>
    </row>
    <row r="15" spans="1:24" s="22" customFormat="1" ht="42" customHeight="1" x14ac:dyDescent="0.25">
      <c r="A15" s="55" t="s">
        <v>1225</v>
      </c>
      <c r="B15" s="201">
        <f>'FUENTE POR UNIDAD'!B50</f>
        <v>22283486868.779999</v>
      </c>
      <c r="C15" s="19">
        <f t="shared" si="2"/>
        <v>1</v>
      </c>
      <c r="D15" s="201">
        <v>22228032526</v>
      </c>
      <c r="E15" s="20">
        <f t="shared" si="3"/>
        <v>0.99751141537648258</v>
      </c>
      <c r="F15" s="202">
        <f>'FUENTE POR UNIDAD'!C50</f>
        <v>1223924319</v>
      </c>
      <c r="G15" s="145">
        <f t="shared" si="4"/>
        <v>5.4925170652478268E-2</v>
      </c>
      <c r="H15" s="199">
        <f>'FUENTE POR UNIDAD'!E50</f>
        <v>974718332</v>
      </c>
      <c r="I15" s="145">
        <f t="shared" si="5"/>
        <v>4.3741732958571082E-2</v>
      </c>
      <c r="J15" s="197">
        <f t="shared" si="0"/>
        <v>55454342.779998779</v>
      </c>
      <c r="K15" s="21">
        <f t="shared" si="1"/>
        <v>2.4885846235174441E-3</v>
      </c>
    </row>
    <row r="16" spans="1:24" s="26" customFormat="1" ht="24.75" customHeight="1" x14ac:dyDescent="0.25">
      <c r="A16" s="196" t="s">
        <v>1262</v>
      </c>
      <c r="B16" s="200">
        <f>SUM(B3:B15)</f>
        <v>475410619011.22998</v>
      </c>
      <c r="C16" s="24">
        <f t="shared" si="2"/>
        <v>1</v>
      </c>
      <c r="D16" s="200">
        <f>SUM(D3:D15)</f>
        <v>373223139523.88</v>
      </c>
      <c r="E16" s="25">
        <f t="shared" ref="E16:E21" si="6">D16/B16</f>
        <v>0.78505427644867953</v>
      </c>
      <c r="F16" s="200">
        <f>SUM(F3:F15)</f>
        <v>330363360985.34998</v>
      </c>
      <c r="G16" s="25">
        <f t="shared" si="4"/>
        <v>0.69490109764995855</v>
      </c>
      <c r="H16" s="200">
        <f>SUM(H3:H15)</f>
        <v>294612002646.09003</v>
      </c>
      <c r="I16" s="25">
        <f t="shared" si="5"/>
        <v>0.61970008843898128</v>
      </c>
      <c r="J16" s="198">
        <f>SUM(J3:J15)</f>
        <v>102187479487.34995</v>
      </c>
      <c r="K16" s="25">
        <f t="shared" si="1"/>
        <v>0.21494572355132041</v>
      </c>
    </row>
    <row r="17" spans="1:24" ht="18.75" customHeight="1" x14ac:dyDescent="0.2">
      <c r="A17" s="195" t="s">
        <v>1226</v>
      </c>
      <c r="B17" s="205">
        <f>'FUENTE POR UNIDAD'!B55</f>
        <v>11388477582.379999</v>
      </c>
      <c r="C17" s="19">
        <f t="shared" si="2"/>
        <v>1</v>
      </c>
      <c r="D17" s="203">
        <v>9634175744.25</v>
      </c>
      <c r="E17" s="20">
        <f t="shared" si="6"/>
        <v>0.84595817786529992</v>
      </c>
      <c r="F17" s="202">
        <f>'FUENTE POR UNIDAD'!C55</f>
        <v>8123559084.0699997</v>
      </c>
      <c r="G17" s="145">
        <f t="shared" si="4"/>
        <v>0.71331387582819594</v>
      </c>
      <c r="H17" s="199">
        <f>'FUENTE POR UNIDAD'!E55</f>
        <v>6834941162.6000004</v>
      </c>
      <c r="I17" s="145">
        <f t="shared" si="5"/>
        <v>0.60016284996467573</v>
      </c>
      <c r="J17" s="197">
        <f>B17-D17</f>
        <v>1754301838.1299992</v>
      </c>
      <c r="K17" s="21">
        <f t="shared" si="1"/>
        <v>0.15404182213470011</v>
      </c>
    </row>
    <row r="18" spans="1:24" s="27" customFormat="1" ht="18.75" customHeight="1" x14ac:dyDescent="0.2">
      <c r="A18" s="195" t="s">
        <v>1183</v>
      </c>
      <c r="B18" s="207">
        <f>'FUENTE POR UNIDAD'!B60</f>
        <v>7587582384.75</v>
      </c>
      <c r="C18" s="19">
        <f t="shared" si="2"/>
        <v>1</v>
      </c>
      <c r="D18" s="202">
        <v>7232719321.96</v>
      </c>
      <c r="E18" s="20">
        <f t="shared" si="6"/>
        <v>0.95323107614577918</v>
      </c>
      <c r="F18" s="202">
        <f>'FUENTE POR UNIDAD'!C60</f>
        <v>4776476950.0799999</v>
      </c>
      <c r="G18" s="145">
        <f t="shared" si="4"/>
        <v>0.62951236742813677</v>
      </c>
      <c r="H18" s="199">
        <f>'FUENTE POR UNIDAD'!E60</f>
        <v>2314433625.4000001</v>
      </c>
      <c r="I18" s="145">
        <f t="shared" si="5"/>
        <v>0.3050291262802885</v>
      </c>
      <c r="J18" s="197">
        <f>B18-D18</f>
        <v>354863062.78999996</v>
      </c>
      <c r="K18" s="21">
        <f t="shared" si="1"/>
        <v>4.6768923854220816E-2</v>
      </c>
    </row>
    <row r="19" spans="1:24" s="27" customFormat="1" ht="40.5" customHeight="1" x14ac:dyDescent="0.2">
      <c r="A19" s="55" t="s">
        <v>1227</v>
      </c>
      <c r="B19" s="207">
        <f>'FUENTE POR UNIDAD'!B63</f>
        <v>390117441.65999997</v>
      </c>
      <c r="C19" s="19">
        <f t="shared" si="2"/>
        <v>1</v>
      </c>
      <c r="D19" s="204">
        <v>338843332</v>
      </c>
      <c r="E19" s="20">
        <f t="shared" si="6"/>
        <v>0.86856750254020421</v>
      </c>
      <c r="F19" s="202">
        <f>'FUENTE POR UNIDAD'!C63</f>
        <v>348459998</v>
      </c>
      <c r="G19" s="145">
        <f t="shared" si="4"/>
        <v>0.89321819736451114</v>
      </c>
      <c r="H19" s="199">
        <f>'FUENTE POR UNIDAD'!E63</f>
        <v>190370370</v>
      </c>
      <c r="I19" s="145">
        <f t="shared" si="5"/>
        <v>0.48798220656310459</v>
      </c>
      <c r="J19" s="197">
        <f>B19-D19</f>
        <v>51274109.659999967</v>
      </c>
      <c r="K19" s="21">
        <f t="shared" si="1"/>
        <v>0.13143249745979577</v>
      </c>
    </row>
    <row r="20" spans="1:24" s="27" customFormat="1" ht="18" customHeight="1" x14ac:dyDescent="0.2">
      <c r="A20" s="28" t="s">
        <v>1263</v>
      </c>
      <c r="B20" s="200">
        <f>SUM(B17:B19)</f>
        <v>19366177408.789997</v>
      </c>
      <c r="C20" s="24">
        <f t="shared" si="2"/>
        <v>1</v>
      </c>
      <c r="D20" s="200">
        <f>SUM(D17:D19)</f>
        <v>17205738398.209999</v>
      </c>
      <c r="E20" s="25">
        <f t="shared" si="6"/>
        <v>0.8884426717272863</v>
      </c>
      <c r="F20" s="200">
        <f>SUM(F17:F19)</f>
        <v>13248496032.15</v>
      </c>
      <c r="G20" s="25">
        <f t="shared" si="4"/>
        <v>0.68410485727228332</v>
      </c>
      <c r="H20" s="200">
        <f>SUM(H17:H19)</f>
        <v>9339745158</v>
      </c>
      <c r="I20" s="25">
        <f t="shared" si="5"/>
        <v>0.48227096968350808</v>
      </c>
      <c r="J20" s="198">
        <f>SUM(J17:J19)</f>
        <v>2160439010.579999</v>
      </c>
      <c r="K20" s="25">
        <f t="shared" si="1"/>
        <v>0.11155732827271377</v>
      </c>
    </row>
    <row r="21" spans="1:24" s="27" customFormat="1" ht="25.5" x14ac:dyDescent="0.2">
      <c r="A21" s="210" t="s">
        <v>1228</v>
      </c>
      <c r="B21" s="211">
        <f>B16+B20</f>
        <v>494776796420.01996</v>
      </c>
      <c r="C21" s="212">
        <f t="shared" si="2"/>
        <v>1</v>
      </c>
      <c r="D21" s="211">
        <f>D16+D20</f>
        <v>390428877922.09003</v>
      </c>
      <c r="E21" s="213">
        <f t="shared" si="6"/>
        <v>0.78910102645689117</v>
      </c>
      <c r="F21" s="211">
        <f>F16+F20</f>
        <v>343611857017.5</v>
      </c>
      <c r="G21" s="213">
        <f t="shared" si="4"/>
        <v>0.69447851941263061</v>
      </c>
      <c r="H21" s="211">
        <f>H16+H20</f>
        <v>303951747804.09003</v>
      </c>
      <c r="I21" s="213">
        <f>H21/B21</f>
        <v>0.61432094229831868</v>
      </c>
      <c r="J21" s="214">
        <f>J16+J20</f>
        <v>104347918497.92995</v>
      </c>
      <c r="K21" s="213">
        <f>J21/B21</f>
        <v>0.21089897354310885</v>
      </c>
    </row>
    <row r="22" spans="1:24" s="34" customFormat="1" ht="14.25" x14ac:dyDescent="0.2">
      <c r="A22" s="31"/>
      <c r="B22" s="32"/>
      <c r="C22" s="33"/>
      <c r="D22" s="32"/>
      <c r="E22" s="33"/>
      <c r="F22" s="32"/>
      <c r="G22" s="32"/>
      <c r="H22" s="32"/>
      <c r="I22" s="32"/>
      <c r="J22" s="32"/>
      <c r="K22" s="33"/>
      <c r="O22" s="34" t="s">
        <v>1265</v>
      </c>
    </row>
    <row r="23" spans="1:24" s="27" customFormat="1" ht="15" x14ac:dyDescent="0.25">
      <c r="A23" s="35"/>
      <c r="B23" s="36"/>
      <c r="C23" s="37"/>
      <c r="D23" s="38"/>
      <c r="E23" s="38"/>
      <c r="F23" s="125"/>
      <c r="G23" s="125"/>
      <c r="H23" s="39"/>
      <c r="I23" s="39"/>
      <c r="J23" s="35"/>
      <c r="K23" s="40"/>
      <c r="L23" s="37"/>
      <c r="M23" s="41"/>
      <c r="N23" s="41"/>
    </row>
    <row r="24" spans="1:24" s="27" customFormat="1" ht="38.25" customHeight="1" x14ac:dyDescent="0.25">
      <c r="A24" s="56"/>
      <c r="B24" s="57"/>
      <c r="C24" s="124"/>
      <c r="D24" s="45"/>
      <c r="E24" s="46"/>
      <c r="F24" s="41"/>
      <c r="G24" s="41"/>
      <c r="H24" s="239"/>
      <c r="I24" s="239"/>
      <c r="J24" s="242"/>
      <c r="K24" s="242"/>
      <c r="L24" s="44"/>
      <c r="M24" s="41"/>
      <c r="N24" s="41"/>
      <c r="O24" s="53" t="s">
        <v>1200</v>
      </c>
      <c r="P24" s="53" t="s">
        <v>1220</v>
      </c>
      <c r="Q24" s="53" t="s">
        <v>1221</v>
      </c>
      <c r="R24" s="53" t="s">
        <v>1260</v>
      </c>
      <c r="S24" s="53" t="s">
        <v>1201</v>
      </c>
      <c r="T24" s="53" t="s">
        <v>1236</v>
      </c>
      <c r="U24" s="53" t="s">
        <v>1222</v>
      </c>
      <c r="V24" s="53" t="s">
        <v>1237</v>
      </c>
      <c r="W24" s="54" t="s">
        <v>1223</v>
      </c>
      <c r="X24" s="53" t="s">
        <v>1261</v>
      </c>
    </row>
    <row r="25" spans="1:24" s="27" customFormat="1" ht="15.75" x14ac:dyDescent="0.25">
      <c r="A25" s="56"/>
      <c r="B25" s="57"/>
      <c r="C25" s="66"/>
      <c r="D25" s="335"/>
      <c r="E25" s="335"/>
      <c r="F25" s="41"/>
      <c r="G25" s="41"/>
      <c r="H25" s="48"/>
      <c r="I25" s="143"/>
      <c r="J25" s="42"/>
      <c r="K25" s="43"/>
      <c r="L25" s="47"/>
      <c r="M25" s="41"/>
      <c r="N25" s="41"/>
      <c r="O25" s="185">
        <f>B20</f>
        <v>19366177408.789997</v>
      </c>
      <c r="P25" s="186">
        <v>1</v>
      </c>
      <c r="Q25" s="185">
        <f>D20</f>
        <v>17205738398.209999</v>
      </c>
      <c r="R25" s="165">
        <f>Q25/O25</f>
        <v>0.8884426717272863</v>
      </c>
      <c r="S25" s="185">
        <f>F20</f>
        <v>13248496032.15</v>
      </c>
      <c r="T25" s="165">
        <f>S25/O25</f>
        <v>0.68410485727228332</v>
      </c>
      <c r="U25" s="185">
        <f>H20</f>
        <v>9339745158</v>
      </c>
      <c r="V25" s="165">
        <f>U25/O25</f>
        <v>0.48227096968350808</v>
      </c>
      <c r="W25" s="185">
        <f>J20</f>
        <v>2160439010.579999</v>
      </c>
      <c r="X25" s="165">
        <f>W25/O25</f>
        <v>0.11155732827271377</v>
      </c>
    </row>
    <row r="26" spans="1:24" s="27" customFormat="1" ht="15.75" x14ac:dyDescent="0.25">
      <c r="A26" s="56"/>
      <c r="B26" s="57"/>
      <c r="C26" s="58"/>
      <c r="D26" s="336"/>
      <c r="E26" s="336"/>
      <c r="F26" s="41"/>
      <c r="G26" s="41"/>
      <c r="J26" s="42"/>
      <c r="K26" s="43"/>
      <c r="L26" s="49"/>
      <c r="M26" s="41"/>
      <c r="N26" s="41"/>
    </row>
    <row r="27" spans="1:24" s="27" customFormat="1" ht="15.75" x14ac:dyDescent="0.25">
      <c r="A27" s="56"/>
      <c r="B27" s="57"/>
      <c r="C27" s="58"/>
      <c r="D27" s="336"/>
      <c r="E27" s="336"/>
      <c r="F27" s="41"/>
      <c r="G27" s="41"/>
      <c r="J27" s="42"/>
      <c r="K27" s="43"/>
      <c r="L27" s="49"/>
      <c r="M27" s="41"/>
      <c r="N27" s="41"/>
    </row>
    <row r="28" spans="1:24" ht="15.75" x14ac:dyDescent="0.25">
      <c r="A28" s="59"/>
      <c r="B28" s="57"/>
      <c r="C28" s="58"/>
      <c r="D28" s="336"/>
      <c r="E28" s="336"/>
      <c r="F28" s="41"/>
      <c r="G28" s="41"/>
      <c r="J28" s="50"/>
      <c r="K28" s="43"/>
      <c r="L28" s="49"/>
      <c r="M28" s="51"/>
      <c r="N28" s="51"/>
    </row>
    <row r="29" spans="1:24" ht="15" customHeight="1" x14ac:dyDescent="0.2">
      <c r="A29" s="60"/>
      <c r="B29" s="61"/>
      <c r="C29" s="61"/>
      <c r="D29" s="336"/>
      <c r="E29" s="336"/>
      <c r="F29" s="41"/>
      <c r="G29" s="41"/>
      <c r="J29" s="41"/>
      <c r="K29" s="51"/>
      <c r="L29" s="51"/>
      <c r="M29" s="51"/>
      <c r="N29" s="51"/>
    </row>
    <row r="30" spans="1:24" ht="30" customHeight="1" x14ac:dyDescent="0.2">
      <c r="A30" s="60"/>
      <c r="B30" s="62"/>
      <c r="C30" s="63"/>
      <c r="D30" s="336"/>
      <c r="E30" s="336"/>
      <c r="F30" s="41"/>
      <c r="G30" s="41"/>
      <c r="J30" s="41"/>
      <c r="K30" s="51"/>
      <c r="L30" s="51"/>
      <c r="M30" s="51"/>
      <c r="N30" s="51"/>
    </row>
    <row r="31" spans="1:24" ht="15" x14ac:dyDescent="0.25">
      <c r="A31" s="64"/>
      <c r="B31" s="65"/>
      <c r="C31" s="38"/>
      <c r="D31" s="52"/>
      <c r="E31" s="52"/>
      <c r="F31" s="41"/>
      <c r="G31" s="41"/>
      <c r="J31" s="41"/>
      <c r="K31" s="51"/>
      <c r="L31" s="51"/>
      <c r="M31" s="51"/>
      <c r="N31" s="51"/>
    </row>
    <row r="32" spans="1:24" ht="15.75" x14ac:dyDescent="0.25">
      <c r="A32" s="56"/>
      <c r="B32" s="57"/>
      <c r="C32" s="46"/>
      <c r="D32" s="52"/>
      <c r="E32" s="52"/>
      <c r="F32" s="41"/>
      <c r="G32" s="41"/>
      <c r="J32" s="41"/>
      <c r="K32" s="51"/>
      <c r="L32" s="51"/>
      <c r="M32" s="51"/>
      <c r="N32" s="51"/>
    </row>
    <row r="33" spans="1:14" ht="15.75" x14ac:dyDescent="0.25">
      <c r="A33" s="56"/>
      <c r="B33" s="57"/>
      <c r="C33" s="66"/>
      <c r="D33" s="52"/>
      <c r="E33" s="52"/>
      <c r="F33" s="41"/>
      <c r="G33" s="41"/>
      <c r="J33" s="41"/>
      <c r="K33" s="51"/>
      <c r="L33" s="51"/>
      <c r="M33" s="51"/>
      <c r="N33" s="51"/>
    </row>
    <row r="34" spans="1:14" ht="15.75" x14ac:dyDescent="0.25">
      <c r="A34" s="56"/>
      <c r="B34" s="57"/>
      <c r="C34" s="58"/>
      <c r="D34" s="52"/>
      <c r="E34" s="52"/>
      <c r="F34" s="41"/>
      <c r="G34" s="41"/>
      <c r="J34" s="41"/>
      <c r="K34" s="51"/>
      <c r="L34" s="51"/>
      <c r="M34" s="51"/>
      <c r="N34" s="51"/>
    </row>
    <row r="35" spans="1:14" ht="15.75" x14ac:dyDescent="0.25">
      <c r="A35" s="56"/>
      <c r="B35" s="57"/>
      <c r="C35" s="58"/>
      <c r="D35" s="52"/>
      <c r="E35" s="52"/>
      <c r="F35" s="41"/>
      <c r="G35" s="41"/>
      <c r="J35" s="41"/>
      <c r="K35" s="51"/>
      <c r="L35" s="51"/>
      <c r="M35" s="51"/>
      <c r="N35" s="51"/>
    </row>
    <row r="36" spans="1:14" ht="15.75" x14ac:dyDescent="0.25">
      <c r="A36" s="59"/>
      <c r="B36" s="57"/>
      <c r="C36" s="58"/>
      <c r="D36" s="52"/>
      <c r="E36" s="52"/>
      <c r="F36" s="41"/>
      <c r="G36" s="41"/>
      <c r="J36" s="41"/>
      <c r="K36" s="51"/>
      <c r="L36" s="51"/>
      <c r="M36" s="51"/>
      <c r="N36" s="51"/>
    </row>
    <row r="37" spans="1:14" x14ac:dyDescent="0.2">
      <c r="A37" s="60"/>
      <c r="B37" s="62"/>
      <c r="C37" s="62"/>
      <c r="D37" s="30"/>
      <c r="E37" s="30"/>
      <c r="F37" s="41"/>
      <c r="G37" s="41"/>
      <c r="J37" s="41"/>
      <c r="K37" s="51"/>
      <c r="L37" s="51"/>
      <c r="M37" s="51"/>
      <c r="N37" s="51"/>
    </row>
    <row r="38" spans="1:14" s="27" customFormat="1" x14ac:dyDescent="0.2">
      <c r="A38" s="60"/>
      <c r="B38" s="62"/>
      <c r="C38" s="62"/>
      <c r="D38" s="30"/>
      <c r="E38" s="30"/>
      <c r="F38" s="41"/>
      <c r="G38" s="41"/>
      <c r="K38" s="18"/>
      <c r="L38" s="18"/>
      <c r="M38" s="18"/>
      <c r="N38" s="18"/>
    </row>
    <row r="39" spans="1:14" s="27" customFormat="1" x14ac:dyDescent="0.2">
      <c r="A39" s="60"/>
      <c r="B39" s="61"/>
      <c r="C39" s="61"/>
      <c r="D39" s="41"/>
      <c r="E39" s="41"/>
      <c r="F39" s="41"/>
      <c r="G39" s="41"/>
      <c r="K39" s="18"/>
      <c r="L39" s="18"/>
      <c r="M39" s="18"/>
      <c r="N39" s="18"/>
    </row>
    <row r="40" spans="1:14" x14ac:dyDescent="0.2">
      <c r="A40" s="60"/>
      <c r="B40" s="61"/>
      <c r="C40" s="61"/>
      <c r="D40" s="41"/>
      <c r="E40" s="41"/>
      <c r="F40" s="41"/>
      <c r="G40" s="41"/>
    </row>
    <row r="41" spans="1:14" ht="40.5" customHeight="1" x14ac:dyDescent="0.2">
      <c r="A41" s="60"/>
      <c r="B41" s="61"/>
      <c r="C41" s="61"/>
      <c r="D41" s="41"/>
      <c r="E41" s="41"/>
      <c r="F41" s="41"/>
      <c r="G41" s="41"/>
      <c r="H41" s="239"/>
      <c r="I41" s="239"/>
      <c r="J41" s="239"/>
    </row>
    <row r="42" spans="1:14" x14ac:dyDescent="0.2">
      <c r="A42" s="60"/>
      <c r="B42" s="61"/>
      <c r="C42" s="61"/>
      <c r="D42" s="41"/>
      <c r="E42" s="41"/>
      <c r="F42" s="41"/>
      <c r="G42" s="41"/>
    </row>
    <row r="43" spans="1:14" x14ac:dyDescent="0.2">
      <c r="A43" s="60"/>
      <c r="B43" s="61"/>
      <c r="C43" s="61"/>
      <c r="D43" s="41"/>
      <c r="E43" s="41"/>
      <c r="F43" s="41"/>
      <c r="G43" s="41"/>
    </row>
    <row r="44" spans="1:14" ht="15" x14ac:dyDescent="0.25">
      <c r="A44" s="64"/>
      <c r="B44" s="65"/>
      <c r="C44" s="38"/>
      <c r="D44" s="41"/>
      <c r="E44" s="41"/>
      <c r="F44" s="41"/>
      <c r="G44" s="41"/>
    </row>
    <row r="45" spans="1:14" ht="15.75" x14ac:dyDescent="0.25">
      <c r="A45" s="56"/>
      <c r="B45" s="57"/>
      <c r="C45" s="46"/>
      <c r="D45" s="41"/>
      <c r="E45" s="41"/>
      <c r="F45" s="41"/>
      <c r="G45" s="41"/>
    </row>
    <row r="46" spans="1:14" ht="15.75" x14ac:dyDescent="0.25">
      <c r="A46" s="56"/>
      <c r="B46" s="57"/>
      <c r="C46" s="66"/>
      <c r="D46" s="41"/>
      <c r="E46" s="41"/>
      <c r="F46" s="41"/>
      <c r="G46" s="41"/>
    </row>
    <row r="47" spans="1:14" ht="15.75" x14ac:dyDescent="0.25">
      <c r="A47" s="56"/>
      <c r="B47" s="57"/>
      <c r="C47" s="58"/>
      <c r="D47" s="41"/>
      <c r="E47" s="41"/>
      <c r="F47" s="41"/>
      <c r="G47" s="41"/>
    </row>
    <row r="48" spans="1:14" ht="15.75" x14ac:dyDescent="0.25">
      <c r="A48" s="56"/>
      <c r="B48" s="57"/>
      <c r="C48" s="58"/>
      <c r="D48" s="41"/>
      <c r="E48" s="41"/>
      <c r="F48" s="41"/>
      <c r="G48" s="41"/>
    </row>
    <row r="49" spans="1:24" ht="15.75" x14ac:dyDescent="0.25">
      <c r="A49" s="59"/>
      <c r="B49" s="57"/>
      <c r="C49" s="58"/>
      <c r="D49" s="41"/>
      <c r="E49" s="41"/>
      <c r="F49" s="41"/>
      <c r="G49" s="41"/>
    </row>
    <row r="50" spans="1:24" x14ac:dyDescent="0.2">
      <c r="A50" s="60"/>
      <c r="B50" s="61"/>
      <c r="C50" s="61"/>
      <c r="D50" s="41"/>
      <c r="E50" s="41"/>
      <c r="F50" s="41"/>
      <c r="G50" s="41"/>
    </row>
    <row r="51" spans="1:24" x14ac:dyDescent="0.2">
      <c r="A51" s="60"/>
      <c r="B51" s="61"/>
      <c r="C51" s="61"/>
      <c r="D51" s="41"/>
      <c r="E51" s="41"/>
      <c r="F51" s="41"/>
      <c r="G51" s="41"/>
    </row>
    <row r="52" spans="1:24" x14ac:dyDescent="0.2">
      <c r="A52" s="60"/>
      <c r="B52" s="61"/>
      <c r="C52" s="61"/>
      <c r="D52" s="41"/>
      <c r="E52" s="41"/>
      <c r="F52" s="41"/>
      <c r="G52" s="41"/>
    </row>
    <row r="53" spans="1:24" x14ac:dyDescent="0.2">
      <c r="A53" s="60"/>
      <c r="B53" s="61"/>
      <c r="C53" s="61"/>
      <c r="D53" s="41"/>
      <c r="E53" s="41"/>
      <c r="F53" s="41"/>
      <c r="G53" s="41"/>
    </row>
    <row r="54" spans="1:24" ht="25.5" x14ac:dyDescent="0.2">
      <c r="A54" s="51"/>
      <c r="B54" s="41"/>
      <c r="C54" s="41"/>
      <c r="D54" s="41"/>
      <c r="E54" s="41"/>
      <c r="F54" s="41"/>
      <c r="G54" s="41"/>
      <c r="O54" s="53" t="s">
        <v>1200</v>
      </c>
      <c r="P54" s="53" t="s">
        <v>1220</v>
      </c>
      <c r="Q54" s="53" t="s">
        <v>1221</v>
      </c>
      <c r="R54" s="53" t="s">
        <v>1260</v>
      </c>
      <c r="S54" s="53" t="s">
        <v>1201</v>
      </c>
      <c r="T54" s="53" t="s">
        <v>1236</v>
      </c>
      <c r="U54" s="53" t="s">
        <v>1222</v>
      </c>
      <c r="V54" s="53" t="s">
        <v>1237</v>
      </c>
      <c r="W54" s="54" t="s">
        <v>1223</v>
      </c>
      <c r="X54" s="53" t="s">
        <v>1261</v>
      </c>
    </row>
    <row r="55" spans="1:24" x14ac:dyDescent="0.2">
      <c r="A55" s="51"/>
      <c r="B55" s="41"/>
      <c r="C55" s="41"/>
      <c r="D55" s="41"/>
      <c r="E55" s="41"/>
      <c r="F55" s="41"/>
      <c r="G55" s="41"/>
      <c r="O55" s="185">
        <f>B21</f>
        <v>494776796420.01996</v>
      </c>
      <c r="P55" s="186">
        <v>1</v>
      </c>
      <c r="Q55" s="185">
        <f>D21</f>
        <v>390428877922.09003</v>
      </c>
      <c r="R55" s="165">
        <f>Q55/O55</f>
        <v>0.78910102645689117</v>
      </c>
      <c r="S55" s="185">
        <f>F21</f>
        <v>343611857017.5</v>
      </c>
      <c r="T55" s="165">
        <f>S55/O55</f>
        <v>0.69447851941263061</v>
      </c>
      <c r="U55" s="185">
        <f>H21</f>
        <v>303951747804.09003</v>
      </c>
      <c r="V55" s="165">
        <f>U55/O55</f>
        <v>0.61432094229831868</v>
      </c>
      <c r="W55" s="185">
        <f>J21</f>
        <v>104347918497.92995</v>
      </c>
      <c r="X55" s="165">
        <f>W55/O55</f>
        <v>0.21089897354310885</v>
      </c>
    </row>
    <row r="56" spans="1:24" x14ac:dyDescent="0.2">
      <c r="A56" s="51"/>
      <c r="B56" s="41"/>
      <c r="C56" s="41"/>
      <c r="D56" s="41"/>
      <c r="E56" s="41"/>
      <c r="F56" s="41"/>
      <c r="G56" s="41"/>
    </row>
    <row r="57" spans="1:24" x14ac:dyDescent="0.2">
      <c r="A57" s="51"/>
      <c r="B57" s="41"/>
      <c r="C57" s="41"/>
      <c r="D57" s="41"/>
      <c r="E57" s="41"/>
      <c r="F57" s="41"/>
      <c r="G57" s="41"/>
    </row>
    <row r="58" spans="1:24" ht="38.25" customHeight="1" x14ac:dyDescent="0.2">
      <c r="A58" s="51"/>
      <c r="B58" s="41"/>
      <c r="C58" s="41"/>
      <c r="D58" s="41"/>
      <c r="E58" s="41"/>
      <c r="F58" s="41"/>
      <c r="G58" s="41"/>
      <c r="H58" s="239"/>
      <c r="I58" s="239"/>
      <c r="J58" s="239"/>
    </row>
    <row r="59" spans="1:24" x14ac:dyDescent="0.2">
      <c r="A59" s="51"/>
      <c r="B59" s="41"/>
      <c r="C59" s="41"/>
      <c r="D59" s="41"/>
      <c r="E59" s="41"/>
      <c r="F59" s="41"/>
      <c r="G59" s="41"/>
    </row>
    <row r="60" spans="1:24" x14ac:dyDescent="0.2">
      <c r="A60" s="67"/>
      <c r="B60" s="41"/>
      <c r="C60" s="41"/>
      <c r="D60" s="41"/>
      <c r="E60" s="41"/>
      <c r="F60" s="41"/>
      <c r="G60" s="41"/>
    </row>
    <row r="61" spans="1:24" x14ac:dyDescent="0.2">
      <c r="A61" s="67"/>
      <c r="B61" s="41"/>
      <c r="C61" s="41"/>
      <c r="D61" s="41"/>
      <c r="E61" s="41"/>
      <c r="F61" s="41"/>
      <c r="G61" s="41"/>
    </row>
    <row r="62" spans="1:24" x14ac:dyDescent="0.2">
      <c r="A62" s="67"/>
      <c r="B62" s="41"/>
      <c r="C62" s="41"/>
      <c r="D62" s="41"/>
      <c r="E62" s="41"/>
      <c r="F62" s="41"/>
      <c r="G62" s="41"/>
    </row>
    <row r="63" spans="1:24" x14ac:dyDescent="0.2">
      <c r="A63" s="67"/>
      <c r="B63" s="41"/>
      <c r="C63" s="41"/>
      <c r="D63" s="41"/>
      <c r="E63" s="41"/>
      <c r="F63" s="41"/>
      <c r="G63" s="41"/>
    </row>
    <row r="64" spans="1:24" x14ac:dyDescent="0.2">
      <c r="A64" s="67"/>
      <c r="B64" s="41"/>
      <c r="C64" s="41"/>
      <c r="D64" s="41"/>
      <c r="E64" s="41"/>
      <c r="F64" s="41"/>
      <c r="G64" s="41"/>
    </row>
    <row r="65" spans="1:14" x14ac:dyDescent="0.2">
      <c r="B65" s="41"/>
      <c r="C65" s="41"/>
      <c r="D65" s="41"/>
      <c r="E65" s="41"/>
      <c r="F65" s="41"/>
      <c r="G65" s="41"/>
    </row>
    <row r="66" spans="1:14" x14ac:dyDescent="0.2">
      <c r="B66" s="41"/>
      <c r="C66" s="41"/>
      <c r="D66" s="41"/>
      <c r="E66" s="41"/>
      <c r="F66" s="41"/>
      <c r="G66" s="41"/>
    </row>
    <row r="68" spans="1:14" s="27" customFormat="1" x14ac:dyDescent="0.2">
      <c r="A68" s="29"/>
      <c r="K68" s="18"/>
      <c r="L68" s="18"/>
      <c r="M68" s="18"/>
      <c r="N68" s="18"/>
    </row>
    <row r="69" spans="1:14" s="27" customFormat="1" x14ac:dyDescent="0.2">
      <c r="K69" s="18"/>
      <c r="L69" s="18"/>
      <c r="M69" s="18"/>
      <c r="N69" s="18"/>
    </row>
    <row r="70" spans="1:14" s="27" customFormat="1" x14ac:dyDescent="0.2">
      <c r="K70" s="18"/>
      <c r="L70" s="18"/>
      <c r="M70" s="18"/>
      <c r="N70" s="18"/>
    </row>
    <row r="71" spans="1:14" s="27" customFormat="1" x14ac:dyDescent="0.2">
      <c r="K71" s="18"/>
      <c r="L71" s="18"/>
      <c r="M71" s="18"/>
      <c r="N71" s="18"/>
    </row>
    <row r="72" spans="1:14" s="27" customFormat="1" x14ac:dyDescent="0.2">
      <c r="K72" s="18"/>
      <c r="L72" s="18"/>
      <c r="M72" s="18"/>
      <c r="N72" s="18"/>
    </row>
    <row r="73" spans="1:14" s="27" customFormat="1" x14ac:dyDescent="0.2">
      <c r="K73" s="18"/>
      <c r="L73" s="18"/>
      <c r="M73" s="18"/>
      <c r="N73" s="18"/>
    </row>
    <row r="74" spans="1:14" s="27" customFormat="1" x14ac:dyDescent="0.2">
      <c r="K74" s="18"/>
      <c r="L74" s="18"/>
      <c r="M74" s="18"/>
      <c r="N74" s="18"/>
    </row>
  </sheetData>
  <mergeCells count="10">
    <mergeCell ref="D29:E29"/>
    <mergeCell ref="H41:J41"/>
    <mergeCell ref="H58:J58"/>
    <mergeCell ref="A1:K1"/>
    <mergeCell ref="H24:K24"/>
    <mergeCell ref="D25:E25"/>
    <mergeCell ref="D26:E26"/>
    <mergeCell ref="D27:E27"/>
    <mergeCell ref="D30:E30"/>
    <mergeCell ref="D28:E28"/>
  </mergeCells>
  <pageMargins left="0.7" right="0.7" top="0.75" bottom="0.75" header="0.3" footer="0.3"/>
  <pageSetup orientation="portrait"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9"/>
  <sheetViews>
    <sheetView showGridLines="0" topLeftCell="A22" workbookViewId="0">
      <selection activeCell="A31" sqref="A31:XFD31"/>
    </sheetView>
  </sheetViews>
  <sheetFormatPr baseColWidth="10" defaultColWidth="11.42578125" defaultRowHeight="15" x14ac:dyDescent="0.25"/>
  <cols>
    <col min="1" max="1" width="20.85546875" customWidth="1"/>
    <col min="2" max="2" width="23" bestFit="1" customWidth="1"/>
    <col min="3" max="3" width="24.5703125" customWidth="1"/>
  </cols>
  <sheetData>
    <row r="1" spans="1:3" ht="15" customHeight="1" x14ac:dyDescent="0.25">
      <c r="A1" s="245" t="s">
        <v>1238</v>
      </c>
      <c r="B1" s="245"/>
      <c r="C1" s="246"/>
    </row>
    <row r="2" spans="1:3" ht="15" customHeight="1" x14ac:dyDescent="0.25">
      <c r="A2" s="247"/>
      <c r="B2" s="247"/>
      <c r="C2" s="248"/>
    </row>
    <row r="3" spans="1:3" ht="15" customHeight="1" x14ac:dyDescent="0.25">
      <c r="A3" s="249"/>
      <c r="B3" s="249"/>
      <c r="C3" s="250"/>
    </row>
    <row r="4" spans="1:3" ht="15.75" x14ac:dyDescent="0.25">
      <c r="A4" s="128" t="s">
        <v>1239</v>
      </c>
      <c r="B4" s="129" t="s">
        <v>1240</v>
      </c>
      <c r="C4" s="130" t="s">
        <v>1241</v>
      </c>
    </row>
    <row r="5" spans="1:3" ht="20.25" customHeight="1" x14ac:dyDescent="0.25">
      <c r="A5" s="131" t="s">
        <v>1242</v>
      </c>
      <c r="B5" s="132">
        <f>'CONSOLIDADO UNIDADES'!B3</f>
        <v>540752326.99000001</v>
      </c>
      <c r="C5" s="133">
        <f>B5/$B$18</f>
        <v>1.1374426766374492E-3</v>
      </c>
    </row>
    <row r="6" spans="1:3" ht="23.25" customHeight="1" x14ac:dyDescent="0.25">
      <c r="A6" s="134" t="s">
        <v>1176</v>
      </c>
      <c r="B6" s="135">
        <f>'CONSOLIDADO UNIDADES'!B4</f>
        <v>1638372589.23</v>
      </c>
      <c r="C6" s="133">
        <f t="shared" ref="C6:C17" si="0">B6/$B$18</f>
        <v>3.4462263224946999E-3</v>
      </c>
    </row>
    <row r="7" spans="1:3" ht="30" x14ac:dyDescent="0.25">
      <c r="A7" s="134" t="s">
        <v>1243</v>
      </c>
      <c r="B7" s="135">
        <f>'CONSOLIDADO UNIDADES'!B5</f>
        <v>5094906273.3999996</v>
      </c>
      <c r="C7" s="133">
        <f t="shared" si="0"/>
        <v>1.0716854167028292E-2</v>
      </c>
    </row>
    <row r="8" spans="1:3" ht="30" x14ac:dyDescent="0.25">
      <c r="A8" s="131" t="s">
        <v>1177</v>
      </c>
      <c r="B8" s="136">
        <f>'CONSOLIDADO UNIDADES'!B6</f>
        <v>42528517537.059998</v>
      </c>
      <c r="C8" s="133">
        <f t="shared" si="0"/>
        <v>8.94563895638507E-2</v>
      </c>
    </row>
    <row r="9" spans="1:3" ht="24" customHeight="1" x14ac:dyDescent="0.25">
      <c r="A9" s="131" t="s">
        <v>1178</v>
      </c>
      <c r="B9" s="136">
        <f>'CONSOLIDADO UNIDADES'!B7</f>
        <v>13734254296.9</v>
      </c>
      <c r="C9" s="133">
        <f t="shared" si="0"/>
        <v>2.8889245943779757E-2</v>
      </c>
    </row>
    <row r="10" spans="1:3" ht="23.25" customHeight="1" x14ac:dyDescent="0.25">
      <c r="A10" s="131" t="s">
        <v>123</v>
      </c>
      <c r="B10" s="136">
        <f>'CONSOLIDADO UNIDADES'!B8</f>
        <v>6175637914.3900003</v>
      </c>
      <c r="C10" s="133">
        <f t="shared" si="0"/>
        <v>1.2990113530139976E-2</v>
      </c>
    </row>
    <row r="11" spans="1:3" ht="30" x14ac:dyDescent="0.25">
      <c r="A11" s="131" t="s">
        <v>1179</v>
      </c>
      <c r="B11" s="136">
        <f>'CONSOLIDADO UNIDADES'!B9</f>
        <v>8607618879.0200005</v>
      </c>
      <c r="C11" s="133">
        <f t="shared" si="0"/>
        <v>1.8105651272414414E-2</v>
      </c>
    </row>
    <row r="12" spans="1:3" ht="45" x14ac:dyDescent="0.25">
      <c r="A12" s="131" t="s">
        <v>1244</v>
      </c>
      <c r="B12" s="136">
        <f>'CONSOLIDADO UNIDADES'!B10</f>
        <v>6616140695.3199997</v>
      </c>
      <c r="C12" s="133">
        <f t="shared" si="0"/>
        <v>1.3916686819239339E-2</v>
      </c>
    </row>
    <row r="13" spans="1:3" ht="22.5" customHeight="1" x14ac:dyDescent="0.25">
      <c r="A13" s="131" t="s">
        <v>1180</v>
      </c>
      <c r="B13" s="136">
        <f>'CONSOLIDADO UNIDADES'!B11</f>
        <v>2091395027.28</v>
      </c>
      <c r="C13" s="133">
        <f t="shared" si="0"/>
        <v>4.399134019407753E-3</v>
      </c>
    </row>
    <row r="14" spans="1:3" ht="22.5" customHeight="1" x14ac:dyDescent="0.25">
      <c r="A14" s="131" t="s">
        <v>113</v>
      </c>
      <c r="B14" s="136">
        <f>'CONSOLIDADO UNIDADES'!B12</f>
        <v>276340724380.24994</v>
      </c>
      <c r="C14" s="133">
        <f t="shared" si="0"/>
        <v>0.58126746296704479</v>
      </c>
    </row>
    <row r="15" spans="1:3" ht="22.5" customHeight="1" x14ac:dyDescent="0.25">
      <c r="A15" s="131" t="s">
        <v>1181</v>
      </c>
      <c r="B15" s="136">
        <f>'CONSOLIDADO UNIDADES'!B13</f>
        <v>12041207464.6</v>
      </c>
      <c r="C15" s="133">
        <f t="shared" si="0"/>
        <v>2.5328015368364262E-2</v>
      </c>
    </row>
    <row r="16" spans="1:3" ht="22.5" customHeight="1" x14ac:dyDescent="0.25">
      <c r="A16" s="131" t="s">
        <v>1182</v>
      </c>
      <c r="B16" s="136">
        <f>'CONSOLIDADO UNIDADES'!B14</f>
        <v>77717604758.01001</v>
      </c>
      <c r="C16" s="133">
        <f t="shared" si="0"/>
        <v>0.16347469250823402</v>
      </c>
    </row>
    <row r="17" spans="1:3" ht="45" x14ac:dyDescent="0.25">
      <c r="A17" s="131" t="s">
        <v>1245</v>
      </c>
      <c r="B17" s="136">
        <f>'CONSOLIDADO UNIDADES'!B15</f>
        <v>22283486868.779999</v>
      </c>
      <c r="C17" s="133">
        <f t="shared" si="0"/>
        <v>4.6872084841364528E-2</v>
      </c>
    </row>
    <row r="18" spans="1:3" ht="15.75" customHeight="1" x14ac:dyDescent="0.25">
      <c r="A18" s="184" t="s">
        <v>1246</v>
      </c>
      <c r="B18" s="137">
        <f>SUM(B5:B17)</f>
        <v>475410619011.22998</v>
      </c>
      <c r="C18" s="138">
        <f>SUM(C5:C17)</f>
        <v>1</v>
      </c>
    </row>
    <row r="20" spans="1:3" ht="15" customHeight="1" x14ac:dyDescent="0.25">
      <c r="A20" s="245" t="s">
        <v>1247</v>
      </c>
      <c r="B20" s="245"/>
      <c r="C20" s="246"/>
    </row>
    <row r="21" spans="1:3" ht="15" customHeight="1" x14ac:dyDescent="0.25">
      <c r="A21" s="247"/>
      <c r="B21" s="247"/>
      <c r="C21" s="248"/>
    </row>
    <row r="22" spans="1:3" ht="15" customHeight="1" x14ac:dyDescent="0.25">
      <c r="A22" s="249"/>
      <c r="B22" s="249"/>
      <c r="C22" s="250"/>
    </row>
    <row r="23" spans="1:3" ht="15.75" x14ac:dyDescent="0.25">
      <c r="A23" s="181" t="s">
        <v>1239</v>
      </c>
      <c r="B23" s="182" t="s">
        <v>1240</v>
      </c>
      <c r="C23" s="183" t="s">
        <v>1241</v>
      </c>
    </row>
    <row r="24" spans="1:3" ht="24.75" customHeight="1" x14ac:dyDescent="0.25">
      <c r="A24" s="131" t="s">
        <v>1248</v>
      </c>
      <c r="B24" s="132">
        <f>'CONSOLIDADO UNIDADES'!B17</f>
        <v>11388477582.379999</v>
      </c>
      <c r="C24" s="133">
        <f>B24/$B$27</f>
        <v>0.58806017016094003</v>
      </c>
    </row>
    <row r="25" spans="1:3" ht="23.25" customHeight="1" x14ac:dyDescent="0.25">
      <c r="A25" s="131" t="s">
        <v>1183</v>
      </c>
      <c r="B25" s="136">
        <f>'CONSOLIDADO UNIDADES'!B18</f>
        <v>7587582384.75</v>
      </c>
      <c r="C25" s="133">
        <f>B25/$B$27</f>
        <v>0.39179556319184178</v>
      </c>
    </row>
    <row r="26" spans="1:3" ht="45" x14ac:dyDescent="0.25">
      <c r="A26" s="131" t="s">
        <v>1249</v>
      </c>
      <c r="B26" s="136">
        <f>'CONSOLIDADO UNIDADES'!B19</f>
        <v>390117441.65999997</v>
      </c>
      <c r="C26" s="133">
        <f>B26/$B$27</f>
        <v>2.0144266647218252E-2</v>
      </c>
    </row>
    <row r="27" spans="1:3" ht="15.75" customHeight="1" x14ac:dyDescent="0.25">
      <c r="A27" s="184" t="s">
        <v>1246</v>
      </c>
      <c r="B27" s="137">
        <f>SUM(B24:B26)</f>
        <v>19366177408.789997</v>
      </c>
      <c r="C27" s="138">
        <f>SUM(C24:C26)</f>
        <v>1</v>
      </c>
    </row>
    <row r="29" spans="1:3" ht="15.75" x14ac:dyDescent="0.25">
      <c r="A29" s="139" t="s">
        <v>1250</v>
      </c>
      <c r="B29" s="243">
        <f>B27+B18</f>
        <v>494776796420.01996</v>
      </c>
      <c r="C29" s="244"/>
    </row>
  </sheetData>
  <mergeCells count="3">
    <mergeCell ref="B29:C29"/>
    <mergeCell ref="A1:C3"/>
    <mergeCell ref="A20:C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2"/>
  <sheetViews>
    <sheetView showGridLines="0" tabSelected="1" zoomScale="80" zoomScaleNormal="80" workbookViewId="0">
      <pane xSplit="1" ySplit="2" topLeftCell="B5" activePane="bottomRight" state="frozen"/>
      <selection pane="topRight" activeCell="B1" sqref="B1"/>
      <selection pane="bottomLeft" activeCell="A3" sqref="A3"/>
      <selection pane="bottomRight" activeCell="D22" sqref="D22"/>
    </sheetView>
  </sheetViews>
  <sheetFormatPr baseColWidth="10" defaultColWidth="11.42578125" defaultRowHeight="12.75" x14ac:dyDescent="0.2"/>
  <cols>
    <col min="1" max="1" width="13.5703125" style="116" customWidth="1"/>
    <col min="2" max="2" width="28.7109375" style="117" customWidth="1"/>
    <col min="3" max="3" width="26.28515625" style="116" customWidth="1"/>
    <col min="4" max="4" width="23.85546875" style="68" customWidth="1"/>
    <col min="5" max="5" width="12.5703125" style="68" customWidth="1"/>
    <col min="6" max="6" width="21.85546875" style="68" customWidth="1"/>
    <col min="7" max="7" width="17.5703125" style="68" customWidth="1"/>
    <col min="8" max="16384" width="11.42578125" style="68"/>
  </cols>
  <sheetData>
    <row r="1" spans="1:7" ht="49.5" customHeight="1" x14ac:dyDescent="0.2">
      <c r="A1" s="229" t="s">
        <v>1257</v>
      </c>
      <c r="B1" s="230"/>
      <c r="C1" s="230"/>
      <c r="D1" s="230"/>
      <c r="E1" s="230"/>
      <c r="F1" s="230"/>
      <c r="G1" s="230"/>
    </row>
    <row r="2" spans="1:7" ht="43.5" customHeight="1" x14ac:dyDescent="0.2">
      <c r="A2" s="215" t="s">
        <v>1235</v>
      </c>
      <c r="B2" s="216" t="s">
        <v>1274</v>
      </c>
      <c r="C2" s="217" t="s">
        <v>1200</v>
      </c>
      <c r="D2" s="217" t="s">
        <v>1201</v>
      </c>
      <c r="E2" s="217" t="s">
        <v>1273</v>
      </c>
      <c r="F2" s="217" t="s">
        <v>1202</v>
      </c>
      <c r="G2" s="217" t="s">
        <v>1273</v>
      </c>
    </row>
    <row r="3" spans="1:7" ht="29.25" customHeight="1" x14ac:dyDescent="0.2">
      <c r="A3" s="218">
        <v>12</v>
      </c>
      <c r="B3" s="219" t="s">
        <v>106</v>
      </c>
      <c r="C3" s="220">
        <v>797000000</v>
      </c>
      <c r="D3" s="220">
        <v>363176198</v>
      </c>
      <c r="E3" s="176">
        <f>D3/C3</f>
        <v>0.45567904391468006</v>
      </c>
      <c r="F3" s="7">
        <v>264113605.40000001</v>
      </c>
      <c r="G3" s="176">
        <f t="shared" ref="G3:G18" si="0">F3/C3</f>
        <v>0.33138469937264742</v>
      </c>
    </row>
    <row r="4" spans="1:7" ht="29.25" customHeight="1" x14ac:dyDescent="0.2">
      <c r="A4" s="218" t="s">
        <v>211</v>
      </c>
      <c r="B4" s="219" t="s">
        <v>212</v>
      </c>
      <c r="C4" s="220">
        <v>2165912654</v>
      </c>
      <c r="D4" s="220">
        <v>1538367739</v>
      </c>
      <c r="E4" s="176">
        <f t="shared" ref="E4:E18" si="1">D4/C4</f>
        <v>0.71026305523399003</v>
      </c>
      <c r="F4" s="7">
        <v>1286850331</v>
      </c>
      <c r="G4" s="176">
        <f t="shared" si="0"/>
        <v>0.59413768538793532</v>
      </c>
    </row>
    <row r="5" spans="1:7" ht="33.75" customHeight="1" x14ac:dyDescent="0.2">
      <c r="A5" s="218">
        <v>19</v>
      </c>
      <c r="B5" s="219" t="s">
        <v>195</v>
      </c>
      <c r="C5" s="220">
        <v>77920310258.01001</v>
      </c>
      <c r="D5" s="220">
        <v>61779758100.029999</v>
      </c>
      <c r="E5" s="176">
        <f t="shared" si="1"/>
        <v>0.79285821495659659</v>
      </c>
      <c r="F5" s="220">
        <v>47833286077.729988</v>
      </c>
      <c r="G5" s="176">
        <f t="shared" si="0"/>
        <v>0.61387443041928658</v>
      </c>
    </row>
    <row r="6" spans="1:7" ht="33.75" customHeight="1" x14ac:dyDescent="0.2">
      <c r="A6" s="218">
        <v>22</v>
      </c>
      <c r="B6" s="219" t="s">
        <v>113</v>
      </c>
      <c r="C6" s="220">
        <v>282798020194.21997</v>
      </c>
      <c r="D6" s="220">
        <v>210703849683.28003</v>
      </c>
      <c r="E6" s="176">
        <f t="shared" si="1"/>
        <v>0.74506833371242442</v>
      </c>
      <c r="F6" s="220">
        <v>203043722909.06006</v>
      </c>
      <c r="G6" s="176">
        <f t="shared" si="0"/>
        <v>0.71798141574546293</v>
      </c>
    </row>
    <row r="7" spans="1:7" ht="27.75" customHeight="1" x14ac:dyDescent="0.2">
      <c r="A7" s="218">
        <v>23</v>
      </c>
      <c r="B7" s="219" t="s">
        <v>989</v>
      </c>
      <c r="C7" s="220">
        <v>22283486868.779999</v>
      </c>
      <c r="D7" s="220">
        <v>1223924319</v>
      </c>
      <c r="E7" s="176">
        <f t="shared" si="1"/>
        <v>5.4925170652478268E-2</v>
      </c>
      <c r="F7" s="220">
        <v>974718332</v>
      </c>
      <c r="G7" s="176">
        <f t="shared" si="0"/>
        <v>4.3741732958571082E-2</v>
      </c>
    </row>
    <row r="8" spans="1:7" ht="31.5" customHeight="1" x14ac:dyDescent="0.2">
      <c r="A8" s="218" t="s">
        <v>153</v>
      </c>
      <c r="B8" s="219" t="s">
        <v>148</v>
      </c>
      <c r="C8" s="220">
        <v>23242084969.159996</v>
      </c>
      <c r="D8" s="220">
        <v>10594307005.040001</v>
      </c>
      <c r="E8" s="176">
        <f t="shared" si="1"/>
        <v>0.45582429541487451</v>
      </c>
      <c r="F8" s="220">
        <v>6795040530.1899996</v>
      </c>
      <c r="G8" s="176">
        <f t="shared" si="0"/>
        <v>0.29235933605811881</v>
      </c>
    </row>
    <row r="9" spans="1:7" ht="27.75" customHeight="1" x14ac:dyDescent="0.2">
      <c r="A9" s="218">
        <v>32</v>
      </c>
      <c r="B9" s="219" t="s">
        <v>160</v>
      </c>
      <c r="C9" s="220">
        <v>4764994707.3199997</v>
      </c>
      <c r="D9" s="220">
        <v>1934385564.95</v>
      </c>
      <c r="E9" s="176">
        <f t="shared" si="1"/>
        <v>0.40595754744037615</v>
      </c>
      <c r="F9" s="220">
        <v>1180869996</v>
      </c>
      <c r="G9" s="176">
        <f t="shared" si="0"/>
        <v>0.24782189037606775</v>
      </c>
    </row>
    <row r="10" spans="1:7" ht="30.75" customHeight="1" x14ac:dyDescent="0.2">
      <c r="A10" s="218">
        <v>33</v>
      </c>
      <c r="B10" s="219" t="s">
        <v>123</v>
      </c>
      <c r="C10" s="220">
        <v>6223437914.3900003</v>
      </c>
      <c r="D10" s="220">
        <v>4486244928.8999996</v>
      </c>
      <c r="E10" s="176">
        <f t="shared" si="1"/>
        <v>0.72086280776205436</v>
      </c>
      <c r="F10" s="220">
        <v>2902105852.8499999</v>
      </c>
      <c r="G10" s="176">
        <f t="shared" si="0"/>
        <v>0.46631876026909064</v>
      </c>
    </row>
    <row r="11" spans="1:7" ht="30.75" customHeight="1" x14ac:dyDescent="0.2">
      <c r="A11" s="218">
        <v>35</v>
      </c>
      <c r="B11" s="219" t="s">
        <v>383</v>
      </c>
      <c r="C11" s="220">
        <v>7969268879.0200005</v>
      </c>
      <c r="D11" s="220">
        <v>7641053158</v>
      </c>
      <c r="E11" s="176">
        <f t="shared" si="1"/>
        <v>0.95881482655403116</v>
      </c>
      <c r="F11" s="220">
        <v>7283450169.6700001</v>
      </c>
      <c r="G11" s="176">
        <f t="shared" si="0"/>
        <v>0.9139420792846511</v>
      </c>
    </row>
    <row r="12" spans="1:7" ht="29.25" customHeight="1" x14ac:dyDescent="0.2">
      <c r="A12" s="218">
        <v>36</v>
      </c>
      <c r="B12" s="219" t="s">
        <v>411</v>
      </c>
      <c r="C12" s="220">
        <v>732350000</v>
      </c>
      <c r="D12" s="220">
        <v>393367089</v>
      </c>
      <c r="E12" s="176">
        <f t="shared" si="1"/>
        <v>0.53712990919642245</v>
      </c>
      <c r="F12" s="220">
        <v>307700424</v>
      </c>
      <c r="G12" s="176">
        <f t="shared" si="0"/>
        <v>0.42015487676657337</v>
      </c>
    </row>
    <row r="13" spans="1:7" ht="29.25" customHeight="1" x14ac:dyDescent="0.2">
      <c r="A13" s="218">
        <v>39</v>
      </c>
      <c r="B13" s="219" t="s">
        <v>425</v>
      </c>
      <c r="C13" s="220">
        <v>30000000</v>
      </c>
      <c r="D13" s="220">
        <v>6800000</v>
      </c>
      <c r="E13" s="176">
        <f t="shared" si="1"/>
        <v>0.22666666666666666</v>
      </c>
      <c r="F13" s="220">
        <v>3400000</v>
      </c>
      <c r="G13" s="176">
        <f t="shared" si="0"/>
        <v>0.11333333333333333</v>
      </c>
    </row>
    <row r="14" spans="1:7" ht="42" customHeight="1" x14ac:dyDescent="0.2">
      <c r="A14" s="218" t="s">
        <v>183</v>
      </c>
      <c r="B14" s="219" t="s">
        <v>169</v>
      </c>
      <c r="C14" s="220">
        <v>9805852415.7099991</v>
      </c>
      <c r="D14" s="220">
        <v>5882868574.7799997</v>
      </c>
      <c r="E14" s="176">
        <f t="shared" si="1"/>
        <v>0.59993443969797366</v>
      </c>
      <c r="F14" s="220">
        <v>4222365322</v>
      </c>
      <c r="G14" s="176">
        <f t="shared" si="0"/>
        <v>0.43059645842061933</v>
      </c>
    </row>
    <row r="15" spans="1:7" ht="34.5" customHeight="1" x14ac:dyDescent="0.2">
      <c r="A15" s="218" t="s">
        <v>200</v>
      </c>
      <c r="B15" s="219" t="s">
        <v>129</v>
      </c>
      <c r="C15" s="220">
        <v>13080671964.6</v>
      </c>
      <c r="D15" s="220">
        <v>11200648942.189999</v>
      </c>
      <c r="E15" s="176">
        <f t="shared" si="1"/>
        <v>0.85627473668800225</v>
      </c>
      <c r="F15" s="220">
        <v>9272700123.4799995</v>
      </c>
      <c r="G15" s="176">
        <f t="shared" si="0"/>
        <v>0.70888560989638372</v>
      </c>
    </row>
    <row r="16" spans="1:7" ht="27.75" customHeight="1" x14ac:dyDescent="0.2">
      <c r="A16" s="218" t="s">
        <v>139</v>
      </c>
      <c r="B16" s="219" t="s">
        <v>134</v>
      </c>
      <c r="C16" s="220">
        <v>19173653635.989998</v>
      </c>
      <c r="D16" s="220">
        <v>12176646249.59</v>
      </c>
      <c r="E16" s="176">
        <f t="shared" si="1"/>
        <v>0.63507177509109525</v>
      </c>
      <c r="F16" s="220">
        <v>9180302432.6100006</v>
      </c>
      <c r="G16" s="176">
        <f t="shared" si="0"/>
        <v>0.47879776107867467</v>
      </c>
    </row>
    <row r="17" spans="1:7" ht="31.5" customHeight="1" x14ac:dyDescent="0.2">
      <c r="A17" s="218" t="s">
        <v>29</v>
      </c>
      <c r="B17" s="219" t="s">
        <v>22</v>
      </c>
      <c r="C17" s="220">
        <v>23789751958.82</v>
      </c>
      <c r="D17" s="220">
        <v>13686459465.74</v>
      </c>
      <c r="E17" s="176">
        <f t="shared" si="1"/>
        <v>0.57530904439151898</v>
      </c>
      <c r="F17" s="220">
        <v>9401121698.1000004</v>
      </c>
      <c r="G17" s="176">
        <f t="shared" si="0"/>
        <v>0.39517527187224644</v>
      </c>
    </row>
    <row r="18" spans="1:7" ht="30" customHeight="1" x14ac:dyDescent="0.2">
      <c r="A18" s="170"/>
      <c r="B18" s="222" t="s">
        <v>1275</v>
      </c>
      <c r="C18" s="221">
        <f>C3+C4+C5+C6+C7+C8+C9+C10+C11+C12+C13+C14+C15+C16+C17</f>
        <v>494776796420.02002</v>
      </c>
      <c r="D18" s="221">
        <f>D3+D4+D5+D6+D7+D8+D9+D10+D11+D12+D13+D14+D15+D16+D17</f>
        <v>343611857017.50012</v>
      </c>
      <c r="E18" s="172">
        <f t="shared" si="1"/>
        <v>0.69447851941263072</v>
      </c>
      <c r="F18" s="221">
        <f>F3+F4+F5+F6+F7+F8+F9+F10+F11+F12+F13+F14+F15+F16+F17</f>
        <v>303951747804.09003</v>
      </c>
      <c r="G18" s="172">
        <f t="shared" si="0"/>
        <v>0.61432094229831857</v>
      </c>
    </row>
    <row r="19" spans="1:7" x14ac:dyDescent="0.2">
      <c r="D19" s="116"/>
      <c r="E19" s="116"/>
      <c r="F19" s="116"/>
      <c r="G19" s="116"/>
    </row>
    <row r="21" spans="1:7" x14ac:dyDescent="0.2">
      <c r="D21" s="116"/>
      <c r="E21" s="116"/>
      <c r="F21" s="116"/>
      <c r="G21" s="116"/>
    </row>
    <row r="22" spans="1:7" x14ac:dyDescent="0.2">
      <c r="D22" s="116"/>
      <c r="E22" s="116"/>
      <c r="F22" s="116"/>
      <c r="G22" s="116"/>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SGTO POAI 2024 ARMONIZADO</vt:lpstr>
      <vt:lpstr>RESUMEN PROGRAMAS</vt:lpstr>
      <vt:lpstr>RESUMEN POAI - PROYECTOS</vt:lpstr>
      <vt:lpstr>FUENTE POR UNIDAD</vt:lpstr>
      <vt:lpstr>LINEA ESTRATEGICA</vt:lpstr>
      <vt:lpstr>CONSOLIDADO UNIDADES</vt:lpstr>
      <vt:lpstr>PARTICIPACIÓN SECRETARIAS</vt:lpstr>
      <vt:lpstr>RESUMEN SECOTRES</vt:lpstr>
      <vt:lpstr>'SGTO POAI 2024 ARMONIZADO'!Área_de_impresión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AUXPLANEACION56</dc:creator>
  <cp:keywords/>
  <dc:description/>
  <cp:lastModifiedBy>DIRPLANEACION04</cp:lastModifiedBy>
  <cp:revision/>
  <dcterms:created xsi:type="dcterms:W3CDTF">2023-08-23T19:35:28Z</dcterms:created>
  <dcterms:modified xsi:type="dcterms:W3CDTF">2024-12-27T14:56:06Z</dcterms:modified>
  <cp:category/>
  <cp:contentStatus/>
</cp:coreProperties>
</file>